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FOI_9258\QuestionNo4\"/>
    </mc:Choice>
  </mc:AlternateContent>
  <xr:revisionPtr revIDLastSave="0" documentId="13_ncr:1_{291EA49D-5499-4853-8C8B-1F545472A33C}" xr6:coauthVersionLast="47" xr6:coauthVersionMax="47" xr10:uidLastSave="{00000000-0000-0000-0000-000000000000}"/>
  <bookViews>
    <workbookView xWindow="-28920" yWindow="-120" windowWidth="29040" windowHeight="15720" xr2:uid="{3B83361E-BE52-4126-828D-83DD80E59C12}"/>
  </bookViews>
  <sheets>
    <sheet name="FOI 9258 - CECR" sheetId="1" r:id="rId1"/>
  </sheets>
  <definedNames>
    <definedName name="_xlnm._FilterDatabase" localSheetId="0" hidden="1">'FOI 9258 - CECR'!$A$60:$N$283</definedName>
    <definedName name="AddMatchAmt">ADDRESS(1,MATCH("Line Amount Excl. VAT",INDIRECT("Quote!$1:$1"),0))</definedName>
    <definedName name="AddMatchDesc">ADDRESS(1,MATCH("Description",INDIRECT("Quote!$1:$1"),0))</definedName>
    <definedName name="ColAmt">LEFT(AddMatchAmt,SEARCH("$",AddMatchAmt,2)-1) &amp; ":" &amp; LEFT(AddMatchAmt,SEARCH("$",AddMatchAmt,2)-1)</definedName>
    <definedName name="ColDesc">LEFT(AddMatchDesc,SEARCH("$",AddMatchDesc,2)-1) &amp; ":" &amp; LEFT(AddMatchDesc,SEARCH("$",AddMatchDesc,2)-1)</definedName>
    <definedName name="MagPremWebVar">IFERROR(SUMIFS(INDIRECT("Quote!" &amp; ColAmt),INDIRECT("Quote!" &amp; ColDesc),"Web Mag Variable Premium"),0)</definedName>
    <definedName name="MagWebFix">IFERROR(SUMIFS(INDIRECT("Quote!" &amp; ColAmt),INDIRECT("Quote!" &amp; ColDesc),"Web Mag Fixed"),0)</definedName>
    <definedName name="MagWebFixSrch">IFERROR(SUMIFS(INDIRECT("Quote!" &amp; ColAmt),INDIRECT("Quote!" &amp; ColDesc),"Web Mag Fixed Search"),0)</definedName>
    <definedName name="MagWebVar">IFERROR(SUMIFS(INDIRECT("Quote!" &amp; ColAmt),INDIRECT("Quote!" &amp; ColDesc),"Web Mag Variable"),0)</definedName>
    <definedName name="MagWebVarMin">IFERROR(SUMIFS(INDIRECT("Quote!" &amp; ColAmt),INDIRECT("Quote!" &amp; ColDesc),"Basic Cover - Web Variable Mag"),0)</definedName>
    <definedName name="MagWebVarSrch">IFERROR(SUMIFS(INDIRECT("Quote!" &amp; ColAmt),INDIRECT("Quote!" &amp; ColDesc),"Web Mag Variable Search"),0)</definedName>
    <definedName name="NewsWebFix">IFERROR(SUMIFS(INDIRECT("Quote!" &amp; ColAmt),INDIRECT("Quote!" &amp; ColDesc),"Web Fixed"),0)</definedName>
    <definedName name="NewsWebFixChar">IFERROR(SUMIFS(INDIRECT("Quote!" &amp; ColAmt),INDIRECT("Quote!" &amp; ColDesc),"Web Fixed (inc*"),0)</definedName>
    <definedName name="NewsWebFixSrch">IFERROR(SUMIFS(INDIRECT("Quote!" &amp; ColAmt),INDIRECT("Quote!" &amp; ColDesc),"Web Fixed Search"),0)</definedName>
    <definedName name="NewsWebVar">IFERROR(SUMIFS(INDIRECT("Quote!" &amp; ColAmt),INDIRECT("Quote!" &amp; ColDesc),"Web Variable"),0)</definedName>
    <definedName name="NewsWebVarMin">IFERROR(SUMIFS(INDIRECT("Quote!" &amp; ColAmt),INDIRECT("Quote!" &amp; ColDesc),"Basic Cover - Web Variable"),0)</definedName>
    <definedName name="NewsWebVarSrch">IFERROR(SUMIFS(INDIRECT("Quote!" &amp; ColAmt),INDIRECT("Quote!" &amp; ColDesc),"Web Variable Search"),0)</definedName>
    <definedName name="WebFixedTotal">_xlfn.SINGLE(NewsWebFix)+_xlfn.SINGLE(NewsWebFixChar)+_xlfn.SINGLE(MagWebFix)+_xlfn.SINGLE(NewsWebFixSrch)+_xlfn.SINGLE(MagWebFixSrch)+_xlfn.SINGLE(NewsWebVar)+_xlfn.SINGLE(NewsWebVarMin)+_xlfn.SINGLE(MagWebVar)+_xlfn.SINGLE(MagWebVarMin)+_xlfn.SINGLE(MagPremWebVar)+_xlfn.SINGLE(NewsWebVarSrch)+_xlfn.SINGLE(MagWebVarSrc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M56" i="1"/>
  <c r="L56" i="1"/>
  <c r="K56" i="1"/>
  <c r="J56" i="1"/>
  <c r="I56" i="1"/>
  <c r="H56" i="1"/>
  <c r="G56" i="1"/>
  <c r="F56" i="1"/>
  <c r="E56" i="1"/>
  <c r="N20" i="1"/>
  <c r="M20" i="1"/>
  <c r="L20" i="1"/>
  <c r="K20" i="1"/>
  <c r="J20" i="1"/>
  <c r="I20" i="1"/>
  <c r="H20" i="1"/>
  <c r="G20" i="1"/>
  <c r="F20" i="1"/>
  <c r="E20" i="1"/>
  <c r="E18" i="1"/>
  <c r="N18" i="1"/>
  <c r="M18" i="1"/>
  <c r="L18" i="1"/>
  <c r="K18" i="1"/>
  <c r="J18" i="1"/>
  <c r="I18" i="1"/>
  <c r="H18" i="1"/>
  <c r="G18" i="1"/>
  <c r="F18" i="1"/>
  <c r="N54" i="1"/>
  <c r="M54" i="1"/>
  <c r="L54" i="1"/>
  <c r="K54" i="1"/>
  <c r="J54" i="1"/>
  <c r="I54" i="1"/>
  <c r="H54" i="1"/>
  <c r="G54" i="1"/>
  <c r="F54" i="1"/>
  <c r="E54" i="1"/>
  <c r="G47" i="1"/>
  <c r="N52" i="1"/>
  <c r="M52" i="1"/>
  <c r="L52" i="1"/>
  <c r="K52" i="1"/>
  <c r="J52" i="1"/>
  <c r="I52" i="1"/>
  <c r="H52" i="1"/>
  <c r="G52" i="1"/>
  <c r="F52" i="1"/>
  <c r="N51" i="1"/>
  <c r="M51" i="1"/>
  <c r="L51" i="1"/>
  <c r="K51" i="1"/>
  <c r="J51" i="1"/>
  <c r="I51" i="1"/>
  <c r="H51" i="1"/>
  <c r="G51" i="1"/>
  <c r="F51" i="1"/>
  <c r="E51" i="1"/>
  <c r="N49" i="1"/>
  <c r="M49" i="1"/>
  <c r="L49" i="1"/>
  <c r="K49" i="1"/>
  <c r="J49" i="1"/>
  <c r="I49" i="1"/>
  <c r="H49" i="1"/>
  <c r="G49" i="1"/>
  <c r="F49" i="1"/>
  <c r="E49" i="1"/>
  <c r="N50" i="1"/>
  <c r="M50" i="1"/>
  <c r="L50" i="1"/>
  <c r="K50" i="1"/>
  <c r="J50" i="1"/>
  <c r="I50" i="1"/>
  <c r="H50" i="1"/>
  <c r="G50" i="1"/>
  <c r="F50" i="1"/>
  <c r="E50" i="1"/>
  <c r="N47" i="1"/>
  <c r="M47" i="1"/>
  <c r="L47" i="1"/>
  <c r="K47" i="1"/>
  <c r="J47" i="1"/>
  <c r="I47" i="1"/>
  <c r="H47" i="1"/>
  <c r="F47" i="1"/>
  <c r="E47" i="1"/>
  <c r="N46" i="1"/>
  <c r="M46" i="1"/>
  <c r="L46" i="1"/>
  <c r="K46" i="1"/>
  <c r="J46" i="1"/>
  <c r="I46" i="1"/>
  <c r="H46" i="1"/>
  <c r="G46" i="1"/>
  <c r="F46" i="1"/>
  <c r="E46" i="1"/>
  <c r="N48" i="1"/>
  <c r="M48" i="1"/>
  <c r="L48" i="1"/>
  <c r="K48" i="1"/>
  <c r="J48" i="1"/>
  <c r="I48" i="1"/>
  <c r="H48" i="1"/>
  <c r="G48" i="1"/>
  <c r="F48" i="1"/>
  <c r="E48" i="1"/>
  <c r="N44" i="1"/>
  <c r="M44" i="1"/>
  <c r="L44" i="1"/>
  <c r="K44" i="1"/>
  <c r="J44" i="1"/>
  <c r="I44" i="1"/>
  <c r="H44" i="1"/>
  <c r="G44" i="1"/>
  <c r="F44" i="1"/>
  <c r="E44" i="1"/>
  <c r="N43" i="1"/>
  <c r="M43" i="1"/>
  <c r="L43" i="1"/>
  <c r="K43" i="1"/>
  <c r="J43" i="1"/>
  <c r="I43" i="1"/>
  <c r="H43" i="1"/>
  <c r="G43" i="1"/>
  <c r="F43" i="1"/>
  <c r="E43" i="1"/>
  <c r="N30" i="1"/>
  <c r="M30" i="1"/>
  <c r="L30" i="1"/>
  <c r="K30" i="1"/>
  <c r="J30" i="1"/>
  <c r="I30" i="1"/>
  <c r="H30" i="1"/>
  <c r="G30" i="1"/>
  <c r="F30" i="1"/>
  <c r="E30" i="1"/>
  <c r="N15" i="1"/>
  <c r="M15" i="1"/>
  <c r="L15" i="1"/>
  <c r="K15" i="1"/>
  <c r="J15" i="1"/>
  <c r="I15" i="1"/>
  <c r="H15" i="1"/>
  <c r="G15" i="1"/>
  <c r="F15" i="1"/>
  <c r="E15" i="1"/>
  <c r="K234" i="1"/>
  <c r="K17" i="1" s="1"/>
  <c r="N41" i="1"/>
  <c r="M41" i="1"/>
  <c r="L41" i="1"/>
  <c r="K41" i="1"/>
  <c r="J41" i="1"/>
  <c r="I41" i="1"/>
  <c r="H41" i="1"/>
  <c r="G41" i="1"/>
  <c r="F41" i="1"/>
  <c r="E41" i="1"/>
  <c r="N39" i="1"/>
  <c r="M39" i="1"/>
  <c r="L39" i="1"/>
  <c r="K39" i="1"/>
  <c r="J39" i="1"/>
  <c r="I39" i="1"/>
  <c r="H39" i="1"/>
  <c r="G39" i="1"/>
  <c r="F39" i="1"/>
  <c r="E39" i="1"/>
  <c r="N34" i="1"/>
  <c r="M34" i="1"/>
  <c r="L34" i="1"/>
  <c r="K34" i="1"/>
  <c r="J34" i="1"/>
  <c r="I34" i="1"/>
  <c r="H34" i="1"/>
  <c r="G34" i="1"/>
  <c r="F34" i="1"/>
  <c r="E34" i="1"/>
  <c r="I33" i="1"/>
  <c r="H33" i="1"/>
  <c r="G33" i="1"/>
  <c r="F33" i="1"/>
  <c r="E33" i="1"/>
  <c r="N33" i="1"/>
  <c r="M33" i="1"/>
  <c r="L33" i="1"/>
  <c r="K33" i="1"/>
  <c r="J33" i="1"/>
  <c r="N31" i="1"/>
  <c r="M31" i="1"/>
  <c r="L31" i="1"/>
  <c r="K31" i="1"/>
  <c r="J31" i="1"/>
  <c r="I31" i="1"/>
  <c r="H31" i="1"/>
  <c r="G31" i="1"/>
  <c r="F31" i="1"/>
  <c r="E31" i="1"/>
  <c r="N28" i="1"/>
  <c r="M28" i="1"/>
  <c r="L28" i="1"/>
  <c r="K28" i="1"/>
  <c r="J28" i="1"/>
  <c r="I28" i="1"/>
  <c r="H28" i="1"/>
  <c r="G28" i="1"/>
  <c r="F28" i="1"/>
  <c r="E28" i="1"/>
  <c r="N14" i="1"/>
  <c r="M14" i="1"/>
  <c r="L14" i="1"/>
  <c r="K14" i="1"/>
  <c r="J14" i="1"/>
  <c r="I14" i="1"/>
  <c r="H14" i="1"/>
  <c r="G14" i="1"/>
  <c r="F14" i="1"/>
  <c r="E14" i="1"/>
  <c r="K186" i="1"/>
  <c r="J17" i="1" s="1"/>
  <c r="K185" i="1"/>
  <c r="K182" i="1"/>
  <c r="N19" i="1"/>
  <c r="M19" i="1"/>
  <c r="L19" i="1"/>
  <c r="K19" i="1"/>
  <c r="J19" i="1"/>
  <c r="I19" i="1"/>
  <c r="H19" i="1"/>
  <c r="G19" i="1"/>
  <c r="F19" i="1"/>
  <c r="E19" i="1"/>
  <c r="N38" i="1"/>
  <c r="M38" i="1"/>
  <c r="L38" i="1"/>
  <c r="K38" i="1"/>
  <c r="J38" i="1"/>
  <c r="I38" i="1"/>
  <c r="G38" i="1"/>
  <c r="F38" i="1"/>
  <c r="E38" i="1"/>
  <c r="N21" i="1"/>
  <c r="M21" i="1"/>
  <c r="L21" i="1"/>
  <c r="K21" i="1"/>
  <c r="J21" i="1"/>
  <c r="I21" i="1"/>
  <c r="H21" i="1"/>
  <c r="F21" i="1"/>
  <c r="N40" i="1"/>
  <c r="M40" i="1"/>
  <c r="L40" i="1"/>
  <c r="K40" i="1"/>
  <c r="J40" i="1"/>
  <c r="I40" i="1"/>
  <c r="H40" i="1"/>
  <c r="G40" i="1"/>
  <c r="F40" i="1"/>
  <c r="E40" i="1"/>
  <c r="N17" i="1"/>
  <c r="M17" i="1"/>
  <c r="L17" i="1"/>
  <c r="H17" i="1"/>
  <c r="G17" i="1"/>
  <c r="F17" i="1"/>
  <c r="E17" i="1"/>
  <c r="N37" i="1"/>
  <c r="M37" i="1"/>
  <c r="L37" i="1"/>
  <c r="K37" i="1"/>
  <c r="J37" i="1"/>
  <c r="I37" i="1"/>
  <c r="H37" i="1"/>
  <c r="G37" i="1"/>
  <c r="F37" i="1"/>
  <c r="E37" i="1"/>
  <c r="N36" i="1"/>
  <c r="M36" i="1"/>
  <c r="L36" i="1"/>
  <c r="K36" i="1"/>
  <c r="J36" i="1"/>
  <c r="I36" i="1"/>
  <c r="H36" i="1"/>
  <c r="G36" i="1"/>
  <c r="F36" i="1"/>
  <c r="E36" i="1"/>
  <c r="K131" i="1"/>
  <c r="G21" i="1" s="1"/>
  <c r="K97" i="1"/>
  <c r="K96" i="1"/>
  <c r="K63" i="1"/>
  <c r="E52" i="1" s="1"/>
  <c r="K61" i="1"/>
  <c r="E21" i="1" s="1"/>
  <c r="B56" i="1" l="1"/>
  <c r="B54" i="1"/>
  <c r="D56" i="1"/>
  <c r="D54" i="1"/>
  <c r="D20" i="1"/>
  <c r="D14" i="1"/>
  <c r="D34" i="1"/>
  <c r="D52" i="1"/>
  <c r="D51" i="1"/>
  <c r="D28" i="1"/>
  <c r="D39" i="1"/>
  <c r="D46" i="1"/>
  <c r="D33" i="1"/>
  <c r="D43" i="1"/>
  <c r="D30" i="1"/>
  <c r="D36" i="1"/>
  <c r="D37" i="1"/>
  <c r="D19" i="1"/>
  <c r="D31" i="1"/>
  <c r="D41" i="1"/>
  <c r="D47" i="1"/>
  <c r="D50" i="1"/>
  <c r="D44" i="1"/>
  <c r="D18" i="1"/>
  <c r="D40" i="1"/>
  <c r="D21" i="1"/>
  <c r="D49" i="1"/>
  <c r="D15" i="1"/>
  <c r="D48" i="1"/>
  <c r="B46" i="1"/>
  <c r="B43" i="1"/>
  <c r="B30" i="1"/>
  <c r="B14" i="1"/>
  <c r="B28" i="1"/>
  <c r="B33" i="1"/>
  <c r="I17" i="1"/>
  <c r="D17" i="1" s="1"/>
  <c r="H38" i="1"/>
  <c r="B36" i="1" s="1"/>
  <c r="B12" i="1" l="1"/>
  <c r="B17" i="1"/>
  <c r="D38" i="1"/>
  <c r="B26" i="1" s="1"/>
</calcChain>
</file>

<file path=xl/sharedStrings.xml><?xml version="1.0" encoding="utf-8"?>
<sst xmlns="http://schemas.openxmlformats.org/spreadsheetml/2006/main" count="1936" uniqueCount="306">
  <si>
    <t>Question 1 - Primary Trust Branding</t>
  </si>
  <si>
    <t>Question 2 - Services, Departments, Programmes</t>
  </si>
  <si>
    <t>Financial Year</t>
  </si>
  <si>
    <t>Project</t>
  </si>
  <si>
    <t>Description</t>
  </si>
  <si>
    <t>Quote Date</t>
  </si>
  <si>
    <t>Net Cost</t>
  </si>
  <si>
    <t>Source</t>
  </si>
  <si>
    <t>CECR Budget Spreadsheet</t>
  </si>
  <si>
    <t>2021-2022</t>
  </si>
  <si>
    <t>Supplier</t>
  </si>
  <si>
    <t>Teams' background design 4 - Strapline</t>
  </si>
  <si>
    <t>Y</t>
  </si>
  <si>
    <t>N</t>
  </si>
  <si>
    <t>Unstuck</t>
  </si>
  <si>
    <t>New Daily Bulletin Template</t>
  </si>
  <si>
    <t>NewZapp</t>
  </si>
  <si>
    <t>Staff Awards Material - Awards Mark, Physical Awards Mock Up, Poster (NTU), Lanyard Badge (Design)</t>
  </si>
  <si>
    <t>Staff Awards 2021 Certificates</t>
  </si>
  <si>
    <t>Staff Awards 2021 Certificates printed on 350 gsm card</t>
  </si>
  <si>
    <t>Staff Awards 2021 Programme</t>
  </si>
  <si>
    <t>Staff Awards 2021 Programme - A5 12pp Booklet 8pp inners printed full colour onto 170gsm silk. 4pp Cover printed onto 350gsm silk. To finish creased and two wire staples added.</t>
  </si>
  <si>
    <t xml:space="preserve">Staff Awards 2021 Sting Presentation </t>
  </si>
  <si>
    <t>Staff Awards 2021 Sting Presentation -Background image</t>
  </si>
  <si>
    <t>Staff Awards 2021 - Quiz &amp; Quote Cards for each table place (450)</t>
  </si>
  <si>
    <t>Staff Awards 2021 - maintain social distancing while waiting poster</t>
  </si>
  <si>
    <t>Staff Awards 2021 - maintain social distancing while waiting A1 Boards - 5mm Foam PVC
panel digitally printed graphics applied to the face with a matching over laminate to protect the print - 594mm x 841mm</t>
  </si>
  <si>
    <t>Staff Awards 2021 - Presenter Cards</t>
  </si>
  <si>
    <t>Staff Awards Material - Lanyard Badge (Production)</t>
  </si>
  <si>
    <t>Staff Awards 2021</t>
  </si>
  <si>
    <t>Signs Express</t>
  </si>
  <si>
    <t>Internal</t>
  </si>
  <si>
    <t>Artcare</t>
  </si>
  <si>
    <t>Improving Together</t>
  </si>
  <si>
    <t xml:space="preserve">Strategy and Improving Together </t>
  </si>
  <si>
    <t>Strategy and Improving Together visual identity</t>
  </si>
  <si>
    <t>Email header x 7</t>
  </si>
  <si>
    <t>Microsite homepage banner</t>
  </si>
  <si>
    <t>PPT template - Improving Together</t>
  </si>
  <si>
    <t xml:space="preserve">Ward boards - </t>
  </si>
  <si>
    <t>Ward tickets</t>
  </si>
  <si>
    <t>ID cards</t>
  </si>
  <si>
    <t>Lanyards</t>
  </si>
  <si>
    <t>Email signature footer - editable html for headshot incl</t>
  </si>
  <si>
    <t>Springs Pod - graphics and physical design</t>
  </si>
  <si>
    <t>Strategy Deployment</t>
  </si>
  <si>
    <t>PO</t>
  </si>
  <si>
    <t xml:space="preserve">351008592	</t>
  </si>
  <si>
    <t xml:space="preserve">Creative
or 
Print/Production  </t>
  </si>
  <si>
    <t>Creative</t>
  </si>
  <si>
    <t>Print/Production</t>
  </si>
  <si>
    <t>N/A</t>
  </si>
  <si>
    <t>-</t>
  </si>
  <si>
    <t>Salisbury NHS Foundation Trust
Strategy Deployment Part 2</t>
  </si>
  <si>
    <t xml:space="preserve">Salisbury NHS Foundation Trust Strategy Deployment Part 1 - Additional Email Headers </t>
  </si>
  <si>
    <t>2022-2023</t>
  </si>
  <si>
    <t>Operational Alerts + EMail Header Banners</t>
  </si>
  <si>
    <t>Improving Together - Posters</t>
  </si>
  <si>
    <t>Improving Together - Roller Banner</t>
  </si>
  <si>
    <t>Improving Together - Pull-up banner</t>
  </si>
  <si>
    <t>Improving Together - A1 Posters</t>
  </si>
  <si>
    <t>Improving Together - Pop up display stand + Installation</t>
  </si>
  <si>
    <t xml:space="preserve">Salisbury NHS Foundation Trust LGBTQ+ Network Visual Identity </t>
  </si>
  <si>
    <t xml:space="preserve">Creative </t>
  </si>
  <si>
    <t>Design and supply of 12 x infographics / drawings
– one for each section header for the Maternity Unit Landing Page</t>
  </si>
  <si>
    <t>Design and supply of 12 x infographic / drawing buttons (at 148 x 148px)
– one for each section header for the Maternity Unit web pages</t>
  </si>
  <si>
    <t>DKB Creative</t>
  </si>
  <si>
    <t>Resizing of 12 x infographic / drawing banners (at 1904 x 357px)
– one for each section header for the Maternity Unit web pages –
plus creating new imagery to fill out the space on each banner</t>
  </si>
  <si>
    <t>Staff Awards 2022</t>
  </si>
  <si>
    <t>Salisbury NHS Foundation Trust Staff Awards Material</t>
  </si>
  <si>
    <t>Salisbury NHS Foundation Trust Staff Awards - Nomination A1 Posters</t>
  </si>
  <si>
    <t>Design of Thumbnail for Podcast</t>
  </si>
  <si>
    <t>Staff Awards 2022 - Programme A5 16pp Brochure</t>
  </si>
  <si>
    <t xml:space="preserve">	Staff Awards 2022 - 20mm Metal Soft Enamel Pin Badge</t>
  </si>
  <si>
    <t>Staff Awards Finalist and Winners Certificates</t>
  </si>
  <si>
    <t>Production of 250 lanyard badges for the Staff Awards 2021</t>
  </si>
  <si>
    <t>Staff Awards Nominee Certificates</t>
  </si>
  <si>
    <t>6x A5 designs for 'Quiz &amp; Quote cards' for tables</t>
  </si>
  <si>
    <t>Printing A5 designs - 130x Quiz card &amp; 325x Quote cards for tables</t>
  </si>
  <si>
    <t>4Imprint</t>
  </si>
  <si>
    <t xml:space="preserve">	351033617</t>
  </si>
  <si>
    <t>Design of 8 icons / buttons and 6 header banners for the recruitment microsite</t>
  </si>
  <si>
    <t>Green Plan</t>
  </si>
  <si>
    <t>Redesign the Sustainability Logo. Supply in various final formats for ongoing use.</t>
  </si>
  <si>
    <t>Improving Together - A4 Laminated Posters (12 x 4 designs)</t>
  </si>
  <si>
    <t>Improving Together - A3 Laminated Posters (7 x 4 designs)</t>
  </si>
  <si>
    <t xml:space="preserve">	Improving Together - 12 off A1 posters - 3 off each design and 48 off A4 ant-bac laminated prints - 12 off each design</t>
  </si>
  <si>
    <t>Cake toppers for the 5x Improving Together drop in sessions</t>
  </si>
  <si>
    <t>Cake toppers for Improving Together drop in sessions</t>
  </si>
  <si>
    <t xml:space="preserve">Improving Together Why card - A5 (giveaways at dropins). </t>
  </si>
  <si>
    <t>Improving Together branded pens</t>
  </si>
  <si>
    <t>Improving Together Pop Badges</t>
  </si>
  <si>
    <t>Coaching IT email footer banner</t>
  </si>
  <si>
    <t>Design and artwork for 1 x A5, double sided "Improving Together – The HOW Card" postcard</t>
  </si>
  <si>
    <t>To print 500, double sided postcards, 350gsm,
rounded corners (cut 6mm) with anti-bac coating (matt finish). Includes Print management fee</t>
  </si>
  <si>
    <t>EdiblePrints.co.uk</t>
  </si>
  <si>
    <t>Total Merchandise</t>
  </si>
  <si>
    <t>Communications Credit Card (Lydia Davies)</t>
  </si>
  <si>
    <t>Requisition raised by the Coach House</t>
  </si>
  <si>
    <t>Set up of transparent
tapestry header images for 12 x email headers</t>
  </si>
  <si>
    <t>To providing initial concepts for 10 x A1 and 10 x A4 vison, values and vision domain posters. Populating approved concepts with remaining content and providing final artwork.</t>
  </si>
  <si>
    <t>To create two widescreen PowerPoint Templates, from the Strategy Deployment and Improving Together Standard slide templates that were produced in 2022.</t>
  </si>
  <si>
    <t>Design and layout of four new Teams backgrounds based on the following elements of the strategy: Values and three Strategic Priorities (People, Partnership, Population)</t>
  </si>
  <si>
    <t>To print 48 off A1 Posters (12 off each of 4 designs) - Trust’s Vision and Vision Domains - Delivery</t>
  </si>
  <si>
    <t xml:space="preserve">	351050845</t>
  </si>
  <si>
    <t xml:space="preserve">Design and layout of a new Teams background
containing People, Population and Partnerships </t>
  </si>
  <si>
    <t>Set up of transparent
tapestry header images for 2 x email headers</t>
  </si>
  <si>
    <t>2023-2024</t>
  </si>
  <si>
    <t>2024-2025</t>
  </si>
  <si>
    <t>2025-2026</t>
  </si>
  <si>
    <t>To Design Internal Wall Graphics for the Main Entrance of Salisbury District Hospital</t>
  </si>
  <si>
    <t>To supply and Install - Digitally printed and matt laminated wall graphics.
Size: Left Side 5632 x 2620mm - Right Side 5626 x 2587mm</t>
  </si>
  <si>
    <t>To produce an A4 infographic page showing Quality Priorities for 2022/2023 and 2023/2024. To include 10 icons.</t>
  </si>
  <si>
    <t>To design Vision Statement stickers for 32 x tugs. For front or rear panel = 303mm x 290mm</t>
  </si>
  <si>
    <t>To produce 64 x Vision Statement stickers for tugs at 303mm x 290mm</t>
  </si>
  <si>
    <t>Next Generation Strategy Posters - Design and artwork 8 x A1 posters. Work up final three posters designs (Retention, Partnership and Population) to final artwork and supply print ready pdfs to printers. To include icons and print as agent.</t>
  </si>
  <si>
    <t>Next Generation Strategy Posters - Retention A1 posters, 250gsm</t>
  </si>
  <si>
    <t>Next Generation Strategy Posters - Partnership A1 posters, 250gsm</t>
  </si>
  <si>
    <t>To design a Boardroom visual of the Vision Statement hospital sticker</t>
  </si>
  <si>
    <t>To Design Internal Wall Graphics for the Education Centre  of Salisbury District Hospital</t>
  </si>
  <si>
    <t>To supply and install High Tack, Digitally Printed and Matt Laminated Vinyl Wall Graphics at the Education Centre. Includes an allowance for Saturday Morning Work if required. Quotation MK26503 / 2</t>
  </si>
  <si>
    <t xml:space="preserve">Additional work for the Vision Statement’ for TUGS: Design and artwork for left and right hand full side wraps  (Option 1) </t>
  </si>
  <si>
    <t>To print and apply (out of hours) full side wraps to 10 tugs.</t>
  </si>
  <si>
    <t xml:space="preserve">To visually develop infographics for three
Creative Territories to show how they will represent the Strategic Planning Framework </t>
  </si>
  <si>
    <t>Next Generation Strategy Posters - Population A1 posters, 250gsm</t>
  </si>
  <si>
    <t>Strategic Progress A4 Infographic and Icons showing Quality Priorities
for 2022/2023</t>
  </si>
  <si>
    <t>Design and layout of a values graphic for the Salisbury NHS Foundation Trust ID badges.</t>
  </si>
  <si>
    <t>Design and layout of initial visuals for 2 x internal walls of the new Imber Ward.</t>
  </si>
  <si>
    <t>Our Vision / Green Plan Wall Graphic - Design and artwork  c. 4940mm x c. 1970mm wall graphic. To include print management</t>
  </si>
  <si>
    <t>Print and Install Our Vision / Green Plan Wall Graphic - To supply and install internal fabric system with 18mm deep silver anodised frame. Including silicone edge fabric graphics.
Size: 1500 x 1000mm</t>
  </si>
  <si>
    <t>Print and Install Our Vision / Green Plan Wall Graphic - To supply and instal internal fabric system with 18mm deep silver anodised frame. Including silicone edge fabric graphics.
Size: 1500 x 2000mm</t>
  </si>
  <si>
    <t>Imber Ward Graphics - Stage 1 - Corporate artwork - Planning, theme development, brand/vision/values integration - Development of concepts - Mock-up of concepts - Two rounds of revisions</t>
  </si>
  <si>
    <t>Imber Ward Graphics - Stage 2 - Corporate artwork - Creating final artwork for the chosen approach based on final dimensions - Liaison with Signs Express Southampton</t>
  </si>
  <si>
    <t>Link bridge artwork planning, development &amp; creation</t>
  </si>
  <si>
    <t>Signs Express (Southampton)</t>
  </si>
  <si>
    <t>Top Up requsition for PO351066091 raised 25/09/2023</t>
  </si>
  <si>
    <t xml:space="preserve">	351072758</t>
  </si>
  <si>
    <t xml:space="preserve">	351073273</t>
  </si>
  <si>
    <t>TOTAL SPEND</t>
  </si>
  <si>
    <t>Design and artwork graphics for a Peugeot e-Expert Long Wheel Base electric van - Greener NHS.</t>
  </si>
  <si>
    <t>To supply and install full colour printed graphics to Peugeot e-Expert Long Wheel Base electric van as per supplied artwork.</t>
  </si>
  <si>
    <t>Signs In Motion</t>
  </si>
  <si>
    <t>Intranet</t>
  </si>
  <si>
    <t>3x designs and artwork for Staff, Access, Learning and Information Centre (SALI) Intranet - Creative Banner, Logo and Postcard</t>
  </si>
  <si>
    <t>Printing of 250 A5 Postcards for Intranet SALi launch</t>
  </si>
  <si>
    <t>Communications Credit Card (Dave Roberts)</t>
  </si>
  <si>
    <t xml:space="preserve">	351077605</t>
  </si>
  <si>
    <t>Improving Together Notebook/Workbook - Design and artwork 1 x A5 notebook-cum-workbook. Based on 56 internal pages and 4 page cover. Cover to be oversized A5 with a pocket on the inside back cover.</t>
  </si>
  <si>
    <t>Improving Together Notebook/Workbook - To print A5 portrait 56pp plus A5 oversized cover with 3mm gusset glued pocket 350gsm silk cover, Inner 160gsm uncoated CMYK
Die cut cover with new forme plus mat laminated, glue pocket, wiro bound
Delivered to customer</t>
  </si>
  <si>
    <t>A3 thinking Card - Design and artwork for 1 x A5, double sided postcard</t>
  </si>
  <si>
    <t>To print A3 thinking Card - A5, double sided postcard d, 350gsm, rounded corners (cut 6mm) with anti-bac coating (matt finish).</t>
  </si>
  <si>
    <t>Salisbury NHS Foundation Trust Strategic Planning Framework Infographic</t>
  </si>
  <si>
    <t>Improving Together Eco friendly sticky notes</t>
  </si>
  <si>
    <t>Print/production of 16x branded Improving Together workwear items for staff</t>
  </si>
  <si>
    <t>Leadership Behaviours and Improving Together tools - Design and artwork 1 x A5, double sided postcard. To include print management</t>
  </si>
  <si>
    <t xml:space="preserve">Leadership Behaviours and Improving Together tools - To print A5, double sided postcard. </t>
  </si>
  <si>
    <r>
      <t xml:space="preserve">Print/production of an </t>
    </r>
    <r>
      <rPr>
        <b/>
        <sz val="10"/>
        <rFont val="Arial"/>
        <family val="2"/>
      </rPr>
      <t>additional</t>
    </r>
    <r>
      <rPr>
        <sz val="10"/>
        <rFont val="Arial"/>
        <family val="2"/>
      </rPr>
      <t xml:space="preserve"> 7x branded Improving Together workwear items for staff</t>
    </r>
  </si>
  <si>
    <t>Workwear Innovation (Abacus Repro Ltd)</t>
  </si>
  <si>
    <t>To supply and install printed &amp; laminated vinyls to  windows: Left hand 1165mm wide/ 990mm high/ Right hand  – 1175mm wide/ 990mm high</t>
  </si>
  <si>
    <t xml:space="preserve">	351061832</t>
  </si>
  <si>
    <t xml:space="preserve">	351064124</t>
  </si>
  <si>
    <t>Staff Awards 2023</t>
  </si>
  <si>
    <t>To design for the Staff Awards 2023 - Awards mark, logo pack, A4 &amp; A1 poster, lanyard badge, 40 x certificates, social media card, digital banner, email header, PowerPoint background.</t>
  </si>
  <si>
    <t>To design a 16pp Programme for the Staff Awards 2023</t>
  </si>
  <si>
    <t>To print A1 nomination posters for the Salisbury Foundation Trust Staff Awards 2023.</t>
  </si>
  <si>
    <t>To produce Bespoke Shaped Soft Enamel Staff Awards 2023 Badge. Up to 7 Colour infill within 25mm, standard nickel plating</t>
  </si>
  <si>
    <t>To design a new Long Service Awards Pin Badge in line with the Salisbury NHS Foundation Trust branding.</t>
  </si>
  <si>
    <t>To produce new Long Service Awards Pin Badges in line with the Salisbury NHS Foundation Trust branding.</t>
  </si>
  <si>
    <t>To design a Staff Awards 2023 winners certificate for the Special Award for Outstanding Contribution to our Armed Forces Community</t>
  </si>
  <si>
    <t xml:space="preserve">To print Finalist (10 off 13 kinds) and Winner (5 off 16 kinds) Certificates for the Staff Awards 2023. </t>
  </si>
  <si>
    <t>To print Staff Awards 2023 - Programme A5 20pp Brochure. 4pp Cover, 16pp InnerCover - 350gsm Silk
Inner - 170gsm Silk. Quote Ref: 38904 ST</t>
  </si>
  <si>
    <t>To print A4 Nominee and Finalist Certificates on 350gsm Satin in quantities advised in email of 10th August 2023. Quote ref: 38874 ST</t>
  </si>
  <si>
    <t>Creating artwork to fit the Staff Awards 2023 the 360x Photo Booth Experience podium.</t>
  </si>
  <si>
    <t>Salisbury Printing</t>
  </si>
  <si>
    <t>Design and layout of Salisbury NHS Foundation Trust's Link Bridge Window Decals</t>
  </si>
  <si>
    <t>Entrance A banner - Design and artwork 1 x 1,200mm x 3,000mm banner. To include Print Management</t>
  </si>
  <si>
    <t>Entrance A banner - Print and install 1 x 1,200mm x 3,000mm Correx sign</t>
  </si>
  <si>
    <t>To create 1x tapestry email header image for Chair, Ian Green</t>
  </si>
  <si>
    <t>To supply four options for Trust Notice Board  header boards and create final artwork for chosen design. To include print management (applies once).</t>
  </si>
  <si>
    <t xml:space="preserve">To print 2000mic cardboard Trust Notice Board  header boards – 1,145mm x 250mm </t>
  </si>
  <si>
    <t>To supply 500 X Hook and Loop Dots Self Adhesive 20mm  for Trust Notice Board  header boards</t>
  </si>
  <si>
    <t>Electronic Patient Record</t>
  </si>
  <si>
    <t>Brand development - Electronic Patient Record project for The BSW Acute Hospital Alliance. Understand (Research &amp; Strategy)</t>
  </si>
  <si>
    <t>Brand development - Electronic Patient Record project for The BSW Acute Hospital Alliance. Understand (Research &amp; Strategy) Create (Design &amp; Identity)</t>
  </si>
  <si>
    <t>BSW Hospitals Group</t>
  </si>
  <si>
    <t>Branding work for BSW Hospital Group - Designing a logo and branding elements for the BSW Hospital Group,
as an umbrella for the 3 hospitals in the Group</t>
  </si>
  <si>
    <t xml:space="preserve">	351093230</t>
  </si>
  <si>
    <t>351098286
Top up requisition raised 15/01/2025</t>
  </si>
  <si>
    <t>351098286
Top up requisition raised 15/01/2025</t>
  </si>
  <si>
    <t xml:space="preserve">	351101087</t>
  </si>
  <si>
    <t xml:space="preserve">	351101086</t>
  </si>
  <si>
    <t>Next Generation Strategy Posters [Wave 3] - Design and artwork  6 x A1 posters (2 x each of People, Population, Parnerships) and 1 x A1 Vision poster. To include print management.</t>
  </si>
  <si>
    <t>Next Generation Strategy Posters [Wave 3] - Resize 6 x posters to fit a 2520 x 4480px digital screen
Recolour all images &amp; text to RGB</t>
  </si>
  <si>
    <t>Next Generation Strategy Posters [Wave 3] - To print A1 posters, 170gsm</t>
  </si>
  <si>
    <t>3P’s Display Stand - Design and artwork 1 x 3m x 2m shaped pop up stand and carry case/podium. To include print management</t>
  </si>
  <si>
    <t>3P’s Display Stand - To supply 3m x 2m L-shaped pop up display stand
with graphics, lights and wheeled case. Sourced from XL Displays</t>
  </si>
  <si>
    <t>Breakthrough Objectives Assets - Design and artwork 4 x icons</t>
  </si>
  <si>
    <t>Breakthrough Objectives Assets - Design and artwork 1st A1 poster (Reducing Patient Falls to Zero)
1st Patient Facing digital screen (2520 x 4480px)
1st SALi digital banner (1140 x 787px)
1st SnapComms digital banner (1600 x 900px)</t>
  </si>
  <si>
    <t>Breakthrough Objectives Assets - Artwork 2nd, 3rd and 4th A1 posters, Patient Facing digital screens
SALi and Snapcomms banners</t>
  </si>
  <si>
    <t>Breakthrough Objectives Assets - Print management 4x A1 posters</t>
  </si>
  <si>
    <t>Breakthrough Objectives Assets - To print 4 x sets of A1 and A4 posters, 5 x of each design</t>
  </si>
  <si>
    <t>Next Generation Strategy Posters [Wave 3b] - To print  A1 posters, 170gsm.
2 x separate designs: Simulation Centre and Medical Education. To include print management and delivery</t>
  </si>
  <si>
    <t>Imber Ward Entrance Graphics - Design and Artwork</t>
  </si>
  <si>
    <t>Imber Ward Entrance Graphics -To supply and install - digitally printed and matt laminated ultra tack wall
graphics. Size: 2706 x 1330mm</t>
  </si>
  <si>
    <t>Hospital Entrance Signage / PALS information area - Stage 1 - Conceptual Design Development</t>
  </si>
  <si>
    <t>Signs Express Southampton</t>
  </si>
  <si>
    <t>EDI</t>
  </si>
  <si>
    <t xml:space="preserve">	351102781</t>
  </si>
  <si>
    <t>Staff Awards</t>
  </si>
  <si>
    <t>To design a new logo/branding piece for the 2024 Staff Awards</t>
  </si>
  <si>
    <t>Staff Awards - Design of A4 and A1 Nominations Poster</t>
  </si>
  <si>
    <t>Staff Awards - Design of Lanyard Badge</t>
  </si>
  <si>
    <t>Staff Awards - Design of Nomination, Finalist and Winners Certificate templates</t>
  </si>
  <si>
    <t>Staff Awards - Design of Social Media card</t>
  </si>
  <si>
    <t>Staff Awards - Design of Email header</t>
  </si>
  <si>
    <t>Staff Awards - Design of PowerPoint Slide Background</t>
  </si>
  <si>
    <t>Staff Awards - Design of SALi Banner</t>
  </si>
  <si>
    <t>Staff Awards - Design of Public Screensaver Graphic</t>
  </si>
  <si>
    <t>Staff Awards - Design of 16pp Staff Awards Programme</t>
  </si>
  <si>
    <t xml:space="preserve">Staff Awards Nominations Poster - To print A4 posters on 170gsm silk paper stock. To include delivery </t>
  </si>
  <si>
    <t>Staff Awards Nominations Poster - To print A1 posters on 170gsm silk paper stock. To include delivery</t>
  </si>
  <si>
    <t xml:space="preserve">Staff Awards Nominations Poster - To re-print A4 posters on 170gsm silk paper stock. To include delivery </t>
  </si>
  <si>
    <t>Staff Awards Nominations Poster - To re-print A1 posters on 170gsm silk paper stock. To include delivery</t>
  </si>
  <si>
    <t>Staff Awards 2024 Badges - To produce Bespoke Shaped Soft Enamel Badge
Up to 7 Colour Infill
Within 30mm, Standard Nickel plating</t>
  </si>
  <si>
    <t>Staff Awards Certificates - to create x44 certificates based on the template</t>
  </si>
  <si>
    <t>Staff Awards Carousel Banner</t>
  </si>
  <si>
    <t>Staff Awards Nominees announced digital banners (SALi and SnapComms)</t>
  </si>
  <si>
    <t>Staff Award winners digital screens - Design and artwork for initial templates and 14 x Staff and 14 x Patient Facing and  SnapComms digital screens</t>
  </si>
  <si>
    <t>Trust Noticeboards Headers - Design and artwork 10 x header boards. To include Print management.</t>
  </si>
  <si>
    <t>Trust Noticeboards Headers - to print noticeboard headers, in line with quote.</t>
  </si>
  <si>
    <t>Tapestry Email Headers - Creating 2x tapestry header images</t>
  </si>
  <si>
    <t>Tapestry Email Headers - Creating 1x tapestry header image (Alex Talbott)</t>
  </si>
  <si>
    <t xml:space="preserve">	351132033</t>
  </si>
  <si>
    <t xml:space="preserve">351137514	</t>
  </si>
  <si>
    <t xml:space="preserve">351139906	</t>
  </si>
  <si>
    <t>BSW Hospitals Group Micro Site page template design</t>
  </si>
  <si>
    <t>BSW Group logo stickers - Produce logo sticker artwork for Main Entrance, 5th Floor Eduction Suite Main Entrance &amp; Foyer and Entrances A &amp; B (external). Plus design and artwork sticker artwork for Main Entrance Welcome sign. To include print management.</t>
  </si>
  <si>
    <t xml:space="preserve">BSW Group logo stickers - to print Main Entrance wall stickers (2 logos)
</t>
  </si>
  <si>
    <t>BSW Group logo stickers - to print Main Entrance reception sign recover</t>
  </si>
  <si>
    <t xml:space="preserve">BSW Group logo stickers - to print 5th Floor Entrance and Foyer stickers
</t>
  </si>
  <si>
    <t>BSW Group logo stickers - to print Entrance A &amp; B white panels x 4</t>
  </si>
  <si>
    <t>Proud to be part of BSW Group - Design and artwork: 1 x Public Facing Screen,  1 x A1 poster. To include print management</t>
  </si>
  <si>
    <t>‘The Cake’ Podcast rebrand for BSW Hospitals Group</t>
  </si>
  <si>
    <t>Continuation of Branding work for the BSW Hospitals Group. Creation of Simple Brand Guidelines. Teams Backgrounds. PPT Templates. Letter Head(s). Compliments slip(s). Email Signature(s)</t>
  </si>
  <si>
    <t xml:space="preserve">351134127	</t>
  </si>
  <si>
    <t>Revised EPR assets - Design and artwork the following digital assets:
- SALi banner
- SnapComms banner
- Loop banner
One set for September date and one set for November date</t>
  </si>
  <si>
    <t>EPR programme - Guru Clinics Digital Banners - Design and artwork 1 x SALi and 1 x SnapComms banner</t>
  </si>
  <si>
    <t>Understanding Data A5 Card - Design and artwork 1 x A5, double sided postcard. To include RGB digital version and print management.</t>
  </si>
  <si>
    <t>Understanding Data A5 Card - To print 500, double sided postcards, 350gsm
rounded corners (cut 6mm) with anti-bac coating (matt finish), including delivery</t>
  </si>
  <si>
    <t>Improving Together Solutions Poster - Design and artwork 1 x A1 poster. To include print management.</t>
  </si>
  <si>
    <t>Improving Together Solutions Poster - To print A1 posters, 170gsm silk. To include delivery.</t>
  </si>
  <si>
    <t>Appointment Filling Poster and Digital Banner - Design and artwork 1 x A1 poster and 1 x Patient Facing digital screen</t>
  </si>
  <si>
    <t>Appointment Filling Poster -  A1 posters, 170gsm silk. To include delivery.</t>
  </si>
  <si>
    <t>Staff Awards 2025</t>
  </si>
  <si>
    <t>Staff Awards 2025 - Design and artwork: 1 x SALi banner, 1 x SnapComms banner, 1 x Patient Facing Screen</t>
  </si>
  <si>
    <t>Staff Awards 2025 - A1 &amp; A4 poster printing. To include print management.</t>
  </si>
  <si>
    <t>Staff Awards 2025 Digital Lock Screen - Adapt existing SnapComms digital banner for Lock screen purposes</t>
  </si>
  <si>
    <t>Staff Awards digital banners (x4) - SALi and SnapComms banners for Ticket Applications are now OPEN and Nominees announced</t>
  </si>
  <si>
    <t>Staff Awards 2025: Presentation Cover Image</t>
  </si>
  <si>
    <t>Staff Awards 2025 - Creating the branding/logo for the 2025 Staff Awards</t>
  </si>
  <si>
    <t>Staff Awards 2025 - Design of A4 and A1 Nominations Poster</t>
  </si>
  <si>
    <t>Staff Awards 2025 Lanyard badge - Design and Artwork</t>
  </si>
  <si>
    <t>Staff Awards 2025 Lanyard badge - To produce Bespoke Shaped Soft Enamel Badge
Up to 7 Colour Infill Within 30mm, Standard Nickel plating</t>
  </si>
  <si>
    <t>Staff Awards 2025 Programme - Design of 20pp A5 programme</t>
  </si>
  <si>
    <t>Staff Awards 2025 Programme -  Production of a 20pp Staff Awards Programme A5, 170gsm, silk finish</t>
  </si>
  <si>
    <t xml:space="preserve">	351119702</t>
  </si>
  <si>
    <t>Strategic Planning Framework - to amend existing artwork and create: 1 x SALi banner, 1 x  SnapComms banner, 1 x Patient Facing Screen</t>
  </si>
  <si>
    <t>Strategic Planning Framework - Design and artwork 1 x lock screen image</t>
  </si>
  <si>
    <t>Strategic Planning Framework - Artwork (from existing design) 1 x A0 landscape poster. To include print management.</t>
  </si>
  <si>
    <t>Strategic Planning Framework - to print 4 x A0 posters, 250gsm silk. To include delivery.</t>
  </si>
  <si>
    <t>Strategy Assets – 4th Generation. Design and artwork for a design template and the artwork for the first (Poster and Public Facing Screen) in the series - 'Population'. To include print management.</t>
  </si>
  <si>
    <t>Strategy Assets – 4th Generation. To print A1 posters, 170gsm silk. To include delivery.</t>
  </si>
  <si>
    <t>Carshare Scheme - To supply and install full colour printed corex sign 2000mmm x 1140mm on treated timber framework concreted into ground opposite Car Park 9.</t>
  </si>
  <si>
    <t>Liftshare - Using the existing poster design (from 2023) make wording amendments to:A1 poster, A3 poster, A4 poster, Pull up banner. Create 1 x SALi banner and 1 x SnapComms banner using the already social cards wording (from 2023). To include print management</t>
  </si>
  <si>
    <t>Liftshare - To print A4 posters, 170gsm silk</t>
  </si>
  <si>
    <t>Liftshare - To print A3 posters, 170gsm silk</t>
  </si>
  <si>
    <t>Liftshare - To print A1 posters, 170gsm silk</t>
  </si>
  <si>
    <t>Liftshare -  To print 800 x 2000mm roller banner, 220mic PVC with 800mm cassette</t>
  </si>
  <si>
    <t>Seasonal SALi Logos - To design and supply 15 seasonal SALi logos for monthly use starting February 2025. To be invoiced monthly</t>
  </si>
  <si>
    <t xml:space="preserve">	351064153</t>
  </si>
  <si>
    <t>Website</t>
  </si>
  <si>
    <t>To design 3x additional buttons and 3x additional banners for the Recruitment pages on the Trust's website</t>
  </si>
  <si>
    <t>Design of 7 buttons and 5 header banners for the Laser Clinic web pages
in the style of the Maternity buttons / header banners created previously.</t>
  </si>
  <si>
    <t>Design of 1 additional button for Working for Salisbury – Imber Ward (in the style of the Maternity buttons created previously)</t>
  </si>
  <si>
    <t xml:space="preserve">	351115836</t>
  </si>
  <si>
    <t>EPR Dashboard button Icon - Illustrate 1 x button icon for use on SALi</t>
  </si>
  <si>
    <t>BUGS website headers and banners - Design of 7 buttons and 7 header banners for the BUGS web pages in the style of the Maternity / Laser Clinic created previously</t>
  </si>
  <si>
    <t>Additional Maternity website buttons and header banner. Design of 2 buttons and 1 header banners for the Materntiy web pages in the style of the current Maternity buttons and banners created previously.</t>
  </si>
  <si>
    <t>Staying Well this Winter Campaign Assets - website buttons and header banner</t>
  </si>
  <si>
    <t xml:space="preserve">Unstuck Design/Unstuck Studios </t>
  </si>
  <si>
    <t>Staff Awards 2024</t>
  </si>
  <si>
    <t>Not captured</t>
  </si>
  <si>
    <t>Strategy Deployment and Improving Together</t>
  </si>
  <si>
    <t>SUPPLIER TOTAL</t>
  </si>
  <si>
    <t>PROGRAMME TOTAL</t>
  </si>
  <si>
    <t>Print/ Production</t>
  </si>
  <si>
    <t>NAME OF PROGRAMME</t>
  </si>
  <si>
    <t xml:space="preserve">Question 1 - Primary Trust Branding (including deviations from the standard NHS logo) </t>
  </si>
  <si>
    <t xml:space="preserve">Question 2 - Branding for Individual Services / Departments / Programmes For any branding, sub branding, or visual identity created for individual services, departments, programmes, initiatives, or projects, please provide:
</t>
  </si>
  <si>
    <t>Notes</t>
  </si>
  <si>
    <t>Source Table: Extracted from the CECR Team Budget Spreadsheet</t>
  </si>
  <si>
    <t>We don’t capture details of all items developed inhouse, so data is only available for 2021-2022.</t>
  </si>
  <si>
    <t>The costs for 2025/2026 are those for which requisitions have been raised up to and including 16 March 2026.</t>
  </si>
  <si>
    <t xml:space="preserve">The Q1 and Q2 tables below display the total creative, print and supplier spend for various SFT programmes, drawn from  the "Source Table: Extracted from the CECR Team Budget Spreadsheet", also below. </t>
  </si>
  <si>
    <t>The programmes that have been included had specific branding/devices developed for them.</t>
  </si>
  <si>
    <t xml:space="preserve">CECR Data for response to FOI 9258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</si>
</sst>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Arial"/>
      <family val="2"/>
      <scheme val="minor"/>
    </font>
    <font>
      <sz val="10"/>
      <color theme="0"/>
      <name val="Arial"/>
      <family val="2"/>
    </font>
    <font>
      <sz val="10"/>
      <color theme="1"/>
      <name val="Arial"/>
      <family val="2"/>
    </font>
    <font>
      <u/>
      <sz val="11"/>
      <color theme="10"/>
      <name val="Arial"/>
      <family val="2"/>
      <scheme val="minor"/>
    </font>
    <font>
      <sz val="10"/>
      <name val="Arial"/>
      <family val="2"/>
    </font>
    <font>
      <sz val="6"/>
      <color rgb="FF333333"/>
      <name val="Arial"/>
      <family val="2"/>
    </font>
    <font>
      <sz val="8"/>
      <name val="Arial"/>
      <family val="2"/>
      <scheme val="minor"/>
    </font>
    <font>
      <b/>
      <sz val="10"/>
      <color theme="0"/>
      <name val="Arial"/>
      <family val="2"/>
    </font>
    <font>
      <b/>
      <sz val="10"/>
      <name val="Arial"/>
      <family val="2"/>
    </font>
    <font>
      <b/>
      <sz val="14"/>
      <color theme="4"/>
      <name val="Arial"/>
      <family val="2"/>
      <scheme val="minor"/>
    </font>
    <font>
      <b/>
      <sz val="14"/>
      <color theme="4"/>
      <name val="Arial"/>
      <family val="2"/>
    </font>
    <font>
      <sz val="11"/>
      <color theme="1"/>
      <name val="Calibri"/>
      <family val="2"/>
    </font>
    <font>
      <b/>
      <sz val="10"/>
      <color rgb="FF000000"/>
      <name val="Arial"/>
      <family val="2"/>
    </font>
    <font>
      <b/>
      <sz val="12"/>
      <color rgb="FF000000"/>
      <name val="Arial"/>
      <family val="2"/>
    </font>
    <font>
      <b/>
      <sz val="12"/>
      <color theme="1"/>
      <name val="Arial"/>
      <family val="2"/>
    </font>
  </fonts>
  <fills count="9">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medium">
        <color rgb="FFD6DFE6"/>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wrapText="1"/>
    </xf>
    <xf numFmtId="164" fontId="2" fillId="0" borderId="0" xfId="0" applyNumberFormat="1" applyFont="1" applyAlignment="1">
      <alignment horizontal="left" vertical="top"/>
    </xf>
    <xf numFmtId="0" fontId="7" fillId="4" borderId="0" xfId="0" applyFont="1" applyFill="1" applyAlignment="1">
      <alignment horizontal="center" vertical="center"/>
    </xf>
    <xf numFmtId="0" fontId="7" fillId="4" borderId="0" xfId="0" applyFont="1" applyFill="1" applyAlignment="1">
      <alignment horizontal="center" vertical="center" wrapText="1"/>
    </xf>
    <xf numFmtId="14" fontId="4" fillId="0" borderId="0" xfId="0" applyNumberFormat="1" applyFont="1" applyAlignment="1">
      <alignment horizontal="left" vertical="center" wrapText="1"/>
    </xf>
    <xf numFmtId="0" fontId="7" fillId="5" borderId="0" xfId="0" applyFont="1" applyFill="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1" xfId="1" quotePrefix="1" applyFont="1" applyFill="1" applyBorder="1" applyAlignment="1">
      <alignment horizontal="left" vertical="center" wrapText="1"/>
    </xf>
    <xf numFmtId="0" fontId="5" fillId="3" borderId="2" xfId="0" applyFont="1" applyFill="1" applyBorder="1" applyAlignment="1">
      <alignment horizontal="left" vertical="center" wrapText="1"/>
    </xf>
    <xf numFmtId="164" fontId="2" fillId="0" borderId="1" xfId="0" applyNumberFormat="1" applyFont="1" applyBorder="1" applyAlignment="1">
      <alignment horizontal="left" vertical="center"/>
    </xf>
    <xf numFmtId="164" fontId="2" fillId="0" borderId="0" xfId="0" applyNumberFormat="1" applyFont="1" applyAlignment="1">
      <alignment horizontal="left" vertical="top" wrapText="1"/>
    </xf>
    <xf numFmtId="164" fontId="4" fillId="0" borderId="1"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xf>
    <xf numFmtId="164" fontId="7" fillId="6" borderId="0" xfId="0" applyNumberFormat="1" applyFont="1" applyFill="1" applyAlignment="1">
      <alignment horizontal="center" vertical="center" wrapText="1"/>
    </xf>
    <xf numFmtId="0" fontId="7" fillId="6" borderId="0" xfId="0" applyFont="1" applyFill="1" applyAlignment="1">
      <alignment horizontal="center" vertical="center" wrapText="1"/>
    </xf>
    <xf numFmtId="0" fontId="7" fillId="7" borderId="0" xfId="0" applyFont="1" applyFill="1" applyAlignment="1">
      <alignment horizontal="center" vertical="center" wrapText="1"/>
    </xf>
    <xf numFmtId="164" fontId="7" fillId="7" borderId="0" xfId="0" applyNumberFormat="1" applyFont="1" applyFill="1" applyAlignment="1">
      <alignment horizontal="center" vertical="center" wrapText="1"/>
    </xf>
    <xf numFmtId="0" fontId="9" fillId="0" borderId="0" xfId="0" applyFont="1"/>
    <xf numFmtId="0" fontId="10" fillId="0" borderId="0" xfId="0" applyFont="1" applyAlignment="1">
      <alignment horizontal="left" vertical="top" wrapText="1"/>
    </xf>
    <xf numFmtId="164" fontId="2" fillId="0" borderId="0" xfId="0" applyNumberFormat="1" applyFont="1" applyAlignment="1">
      <alignment horizontal="left" vertical="center" wrapText="1"/>
    </xf>
    <xf numFmtId="164" fontId="2" fillId="0" borderId="0" xfId="0" applyNumberFormat="1" applyFont="1" applyAlignment="1">
      <alignment horizontal="left" vertical="center"/>
    </xf>
    <xf numFmtId="0" fontId="7" fillId="8" borderId="0" xfId="0" applyFont="1" applyFill="1" applyAlignment="1">
      <alignment horizontal="center" vertical="center" wrapText="1"/>
    </xf>
    <xf numFmtId="164" fontId="7" fillId="8" borderId="0" xfId="0" applyNumberFormat="1" applyFont="1" applyFill="1" applyAlignment="1">
      <alignment horizontal="center" vertical="center" wrapText="1"/>
    </xf>
    <xf numFmtId="0" fontId="12" fillId="0" borderId="0" xfId="0" applyFont="1" applyAlignment="1">
      <alignment vertical="center" wrapText="1"/>
    </xf>
    <xf numFmtId="0" fontId="11" fillId="0" borderId="0" xfId="0" applyFont="1" applyAlignment="1">
      <alignment vertical="top" wrapText="1"/>
    </xf>
    <xf numFmtId="0" fontId="7" fillId="4" borderId="0" xfId="0" applyFont="1" applyFill="1" applyAlignment="1">
      <alignment horizontal="center" vertical="center" wrapText="1"/>
    </xf>
    <xf numFmtId="164" fontId="7" fillId="7" borderId="0" xfId="0" applyNumberFormat="1" applyFont="1" applyFill="1" applyAlignment="1">
      <alignment horizontal="center" vertical="center" wrapText="1"/>
    </xf>
    <xf numFmtId="0" fontId="7" fillId="4" borderId="0" xfId="0" applyFont="1" applyFill="1" applyAlignment="1">
      <alignment horizontal="center" vertical="top" wrapText="1"/>
    </xf>
    <xf numFmtId="0" fontId="7" fillId="4" borderId="0" xfId="0" applyFont="1" applyFill="1" applyAlignment="1">
      <alignment horizontal="center" vertical="top"/>
    </xf>
    <xf numFmtId="0" fontId="13"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left" vertical="top"/>
    </xf>
    <xf numFmtId="0" fontId="13" fillId="0" borderId="0" xfId="0" applyFont="1" applyAlignment="1">
      <alignment vertical="center" wrapText="1"/>
    </xf>
    <xf numFmtId="164" fontId="14" fillId="0" borderId="0" xfId="0" applyNumberFormat="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SFT_NHS_Colours">
      <a:dk1>
        <a:sysClr val="windowText" lastClr="000000"/>
      </a:dk1>
      <a:lt1>
        <a:sysClr val="window" lastClr="FFFFFF"/>
      </a:lt1>
      <a:dk2>
        <a:srgbClr val="1F497D"/>
      </a:dk2>
      <a:lt2>
        <a:srgbClr val="EEECE1"/>
      </a:lt2>
      <a:accent1>
        <a:srgbClr val="005EB8"/>
      </a:accent1>
      <a:accent2>
        <a:srgbClr val="AE2573"/>
      </a:accent2>
      <a:accent3>
        <a:srgbClr val="FFB81C"/>
      </a:accent3>
      <a:accent4>
        <a:srgbClr val="78BE20"/>
      </a:accent4>
      <a:accent5>
        <a:srgbClr val="00A499"/>
      </a:accent5>
      <a:accent6>
        <a:srgbClr val="330072"/>
      </a:accent6>
      <a:hlink>
        <a:srgbClr val="005EB8"/>
      </a:hlink>
      <a:folHlink>
        <a:srgbClr val="7C2855"/>
      </a:folHlink>
    </a:clrScheme>
    <a:fontScheme name="SFT_NHS_Fonts">
      <a:majorFont>
        <a:latin typeface="Arial"/>
        <a:ea typeface=""/>
        <a:cs typeface=""/>
      </a:majorFont>
      <a:minorFont>
        <a:latin typeface="Arial"/>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ww.finsys.sbs.nhs.uk:4486/OA_HTML/OA.jsp?OAFunc=POS_VIEW_ORDER_INT&amp;ReqHeaderId=%7B!!DFXqgGfH1GJ-O6eaeDDdRg%7D&amp;PoHeaderId=%7B!!XRCmLvh-sY94yio7VPTiKQ%7D&amp;PoReleaseId=&amp;retainAM=Y&amp;addBreadCrumb=Y&amp;_ti=438036094&amp;oapc=64" TargetMode="External"/><Relationship Id="rId2" Type="http://schemas.openxmlformats.org/officeDocument/2006/relationships/hyperlink" Target="https://nww.finsys.sbs.nhs.uk:4486/OA_HTML/OA.jsp?OAFunc=POS_VIEW_ORDER_INT&amp;ReqHeaderId=%7B!!uHuvaW03G555aWyatnq9Xg%7D&amp;PoHeaderId=%7B!!8XXYIfZX26doySLANs-CnA%7D&amp;PoReleaseId=&amp;retainAM=Y&amp;addBreadCrumb=Y&amp;_ti=103650927&amp;oapc=24&amp;oas=QULtGtk5AMNKUVeMGxxnYA.." TargetMode="External"/><Relationship Id="rId1" Type="http://schemas.openxmlformats.org/officeDocument/2006/relationships/hyperlink" Target="file:///C:\Users\anna.hopkinson1\AppData\Roaming\Microsoft\Excel\SFT011%20Microsoft%20Teams%20Background%20-%20Strap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82DAE-4AB6-4E14-A973-63E6E4BAE820}">
  <dimension ref="A1:O294"/>
  <sheetViews>
    <sheetView tabSelected="1" zoomScale="85" zoomScaleNormal="85" workbookViewId="0">
      <selection activeCell="Q16" sqref="Q16"/>
    </sheetView>
  </sheetViews>
  <sheetFormatPr defaultColWidth="14.5" defaultRowHeight="14.25" x14ac:dyDescent="0.2"/>
  <cols>
    <col min="1" max="1" width="14.5" style="3"/>
    <col min="2" max="2" width="12.875" style="3" customWidth="1"/>
    <col min="3" max="3" width="17.25" style="3" customWidth="1"/>
    <col min="4" max="4" width="10.375" style="3" customWidth="1"/>
    <col min="5" max="11" width="10.25" style="3" customWidth="1"/>
    <col min="12" max="14" width="10.25" style="2" customWidth="1"/>
    <col min="16" max="16384" width="14.5" style="2"/>
  </cols>
  <sheetData>
    <row r="1" spans="1:15" ht="18" x14ac:dyDescent="0.25">
      <c r="A1" s="28" t="s">
        <v>305</v>
      </c>
      <c r="O1" s="2"/>
    </row>
    <row r="2" spans="1:15" ht="12.75" x14ac:dyDescent="0.2">
      <c r="A2" s="2"/>
      <c r="C2" s="17"/>
      <c r="O2" s="2"/>
    </row>
    <row r="3" spans="1:15" ht="15" x14ac:dyDescent="0.2">
      <c r="A3" s="34" t="s">
        <v>299</v>
      </c>
      <c r="B3" s="35"/>
      <c r="C3" s="17"/>
      <c r="O3" s="2"/>
    </row>
    <row r="4" spans="1:15" s="42" customFormat="1" ht="15.75" x14ac:dyDescent="0.2">
      <c r="A4" s="40">
        <v>1</v>
      </c>
      <c r="B4" s="40" t="s">
        <v>303</v>
      </c>
      <c r="C4" s="41"/>
      <c r="D4" s="41"/>
      <c r="E4" s="41"/>
      <c r="F4" s="41"/>
      <c r="G4" s="41"/>
      <c r="H4" s="41"/>
      <c r="I4" s="41"/>
      <c r="J4" s="41"/>
      <c r="K4" s="41"/>
    </row>
    <row r="5" spans="1:15" s="42" customFormat="1" ht="15.75" x14ac:dyDescent="0.2">
      <c r="A5" s="43">
        <v>2</v>
      </c>
      <c r="B5" s="42" t="s">
        <v>304</v>
      </c>
      <c r="C5" s="44"/>
      <c r="D5" s="41"/>
      <c r="E5" s="41"/>
      <c r="F5" s="41"/>
      <c r="G5" s="41"/>
      <c r="H5" s="41"/>
      <c r="I5" s="41"/>
      <c r="J5" s="41"/>
      <c r="K5" s="41"/>
    </row>
    <row r="6" spans="1:15" s="42" customFormat="1" ht="15.75" x14ac:dyDescent="0.2">
      <c r="A6" s="43">
        <v>3</v>
      </c>
      <c r="B6" s="40" t="s">
        <v>301</v>
      </c>
      <c r="C6" s="44"/>
      <c r="D6" s="41"/>
      <c r="E6" s="41"/>
      <c r="F6" s="41"/>
      <c r="G6" s="41"/>
      <c r="H6" s="41"/>
      <c r="I6" s="41"/>
      <c r="J6" s="41"/>
      <c r="K6" s="41"/>
    </row>
    <row r="7" spans="1:15" s="42" customFormat="1" ht="15.75" x14ac:dyDescent="0.2">
      <c r="A7" s="40">
        <v>4</v>
      </c>
      <c r="B7" s="40" t="s">
        <v>302</v>
      </c>
      <c r="C7" s="44"/>
      <c r="D7" s="41"/>
      <c r="E7" s="41"/>
      <c r="F7" s="41"/>
      <c r="G7" s="41"/>
      <c r="H7" s="41"/>
      <c r="I7" s="41"/>
      <c r="J7" s="41"/>
      <c r="K7" s="41"/>
    </row>
    <row r="8" spans="1:15" ht="12.75" x14ac:dyDescent="0.2">
      <c r="O8" s="2"/>
    </row>
    <row r="9" spans="1:15" ht="18" x14ac:dyDescent="0.25">
      <c r="A9" s="28" t="s">
        <v>297</v>
      </c>
      <c r="B9" s="29"/>
      <c r="C9" s="29"/>
      <c r="D9" s="29"/>
      <c r="E9" s="29"/>
      <c r="F9" s="29"/>
      <c r="O9" s="2"/>
    </row>
    <row r="10" spans="1:15" ht="12.75" x14ac:dyDescent="0.2">
      <c r="O10" s="2"/>
    </row>
    <row r="11" spans="1:15" ht="12.75" x14ac:dyDescent="0.2">
      <c r="B11" s="25" t="s">
        <v>138</v>
      </c>
      <c r="O11" s="2"/>
    </row>
    <row r="12" spans="1:15" ht="12.75" x14ac:dyDescent="0.2">
      <c r="B12" s="24">
        <f>SUM(D14:D21)</f>
        <v>50424.14</v>
      </c>
      <c r="D12" s="2"/>
      <c r="E12" s="38" t="s">
        <v>9</v>
      </c>
      <c r="F12" s="38"/>
      <c r="G12" s="38" t="s">
        <v>55</v>
      </c>
      <c r="H12" s="38"/>
      <c r="I12" s="38" t="s">
        <v>107</v>
      </c>
      <c r="J12" s="38"/>
      <c r="K12" s="39" t="s">
        <v>108</v>
      </c>
      <c r="L12" s="39"/>
      <c r="M12" s="39" t="s">
        <v>109</v>
      </c>
      <c r="N12" s="39"/>
      <c r="O12" s="2"/>
    </row>
    <row r="13" spans="1:15" ht="25.5" x14ac:dyDescent="0.2">
      <c r="A13" s="9" t="s">
        <v>296</v>
      </c>
      <c r="B13" s="26" t="s">
        <v>294</v>
      </c>
      <c r="C13" s="9" t="s">
        <v>10</v>
      </c>
      <c r="D13" s="32" t="s">
        <v>293</v>
      </c>
      <c r="E13" s="9" t="s">
        <v>49</v>
      </c>
      <c r="F13" s="9" t="s">
        <v>295</v>
      </c>
      <c r="G13" s="9" t="s">
        <v>49</v>
      </c>
      <c r="H13" s="9" t="s">
        <v>295</v>
      </c>
      <c r="I13" s="9" t="s">
        <v>49</v>
      </c>
      <c r="J13" s="9" t="s">
        <v>295</v>
      </c>
      <c r="K13" s="9" t="s">
        <v>49</v>
      </c>
      <c r="L13" s="9" t="s">
        <v>295</v>
      </c>
      <c r="M13" s="8" t="s">
        <v>49</v>
      </c>
      <c r="N13" s="9" t="s">
        <v>295</v>
      </c>
      <c r="O13" s="2"/>
    </row>
    <row r="14" spans="1:15" ht="12.75" x14ac:dyDescent="0.2">
      <c r="A14" s="36" t="s">
        <v>184</v>
      </c>
      <c r="B14" s="37">
        <f>SUM(E14:N15)</f>
        <v>3970.5</v>
      </c>
      <c r="C14" s="6" t="s">
        <v>66</v>
      </c>
      <c r="D14" s="33">
        <f>SUM(E14:N14)</f>
        <v>3895.5</v>
      </c>
      <c r="E14" s="22">
        <f>SUMIFS($K$61:$K$484,$B$61:$B$484,"2021-2022",$F$61:$F$484,"BSW*",$I$61:$I$484,"*Creative*",$H$61:$H$484,"DKB*")</f>
        <v>0</v>
      </c>
      <c r="F14" s="22">
        <f>SUMIFS($K$61:$K$484,$B$61:$B$484,"2021-2022",$F$61:$F$484,"BSW*",$I$61:$I$484,"*Print*",$H$61:$H$484,"DKB*")</f>
        <v>0</v>
      </c>
      <c r="G14" s="22">
        <f>SUMIFS($K$61:$K$484,$B$61:$B$484,"2022-2023",$F$61:$F$484,"BSW*",$I$61:$I$484,"*Creative*",$H$61:$H$484,"DKB*")</f>
        <v>0</v>
      </c>
      <c r="H14" s="22">
        <f>SUMIFS($K$61:$K$484,$B$61:$B$484,"2022-2023",$F$61:$F$484,"BSW*",$I$61:$I$484,"*Print*",$H$61:$H$484,"DKB*")</f>
        <v>0</v>
      </c>
      <c r="I14" s="22">
        <f>SUMIFS($K$61:$K$484,$B$61:$B$484,"2023-2024",$F$61:$F$484,"BSW*",$I$61:$I$484,"*Creative*",$H$61:$H$484,"DKB*")</f>
        <v>0</v>
      </c>
      <c r="J14" s="22">
        <f>SUMIFS($K$61:$K$484,$B$61:$B$484,"2023-2024",$F$61:$F$484,"BSW*",$I$61:$I$484,"*Print*",$H$61:$H$484,"DKB*")</f>
        <v>0</v>
      </c>
      <c r="K14" s="22">
        <f>SUMIFS($K$61:$K$484,$B$61:$B$484,"2024-2025",$F$61:$F$484,"BSW*",$I$61:$I$484,"*Creative*",$H$61:$H$484,"DKB*")</f>
        <v>1000</v>
      </c>
      <c r="L14" s="23">
        <f>SUMIFS($K$61:$K$484,$B$61:$B$484,"2024-2025",$F$61:$F$484,"BSW*",$I$61:$I$484,"*Print*",$H$61:$H$484,"DKB*")</f>
        <v>0</v>
      </c>
      <c r="M14" s="23">
        <f>SUMIFS($K$61:$K$484,$B$61:$B$484,"2025-2026",$F$61:$F$484,"BSW*",$I$61:$I$484,"*Creative*",$H$61:$H$484,"DKB*")</f>
        <v>2445.5</v>
      </c>
      <c r="N14" s="23">
        <f>SUMIFS($K$61:$K$484,$B$61:$B$484,"2025-2026",$F$61:$F$484,"BSW*",$I$61:$I$484,"*Print*",$H$61:$H$484,"DKB*")</f>
        <v>450</v>
      </c>
      <c r="O14" s="2"/>
    </row>
    <row r="15" spans="1:15" ht="12.75" x14ac:dyDescent="0.2">
      <c r="A15" s="36"/>
      <c r="B15" s="37"/>
      <c r="C15" s="13" t="s">
        <v>14</v>
      </c>
      <c r="D15" s="33">
        <f>SUM(E15:N15)</f>
        <v>75</v>
      </c>
      <c r="E15" s="22">
        <f>SUMIFS($K$61:$K$484,$B$61:$B$484,"2021-2022",$F$61:$F$484,"BSW*",$I$61:$I$484,"*Creative*",$H$61:$H$484,"Unstuck*")</f>
        <v>0</v>
      </c>
      <c r="F15" s="22">
        <f>SUMIFS($K$61:$K$484,$B$61:$B$484,"2021-2022",$F$61:$F$484,"BSW*",$I$61:$I$484,"*Print*",$H$61:$H$484,"Unstuck*")</f>
        <v>0</v>
      </c>
      <c r="G15" s="22">
        <f>SUMIFS($K$61:$K$484,$B$61:$B$484,"2022-2023",$F$61:$F$484,"BSW**",$I$61:$I$484,"*Creative*",$H$61:$H$484,"Unstuck*")</f>
        <v>0</v>
      </c>
      <c r="H15" s="22">
        <f>SUMIFS($K$61:$K$484,$B$61:$B$484,"2022-2023",$F$61:$F$484,"BSW**",$I$61:$I$484,"*Print*",$H$61:$H$484,"Unstuck*")</f>
        <v>0</v>
      </c>
      <c r="I15" s="22">
        <f>SUMIFS($K$61:$K$484,$B$61:$B$484,"2023-2024",$F$61:$F$484,"BSW**",$I$61:$I$484,"*Creative*",$H$61:$H$484,"Unstuck*")</f>
        <v>0</v>
      </c>
      <c r="J15" s="22">
        <f>SUMIFS($K$61:$K$484,$B$61:$B$484,"2023-2024",$F$61:$F$484,"BSW**",$I$61:$I$484,"*Print*",$H$61:$H$484,"Unstuck*")</f>
        <v>0</v>
      </c>
      <c r="K15" s="22">
        <f>SUMIFS($K$61:$K$484,$B$61:$B$484,"2024-2025",$F$61:$F$484,"BSW**",$I$61:$I$484,"*Creative*",$H$61:$H$484,"Unstuck*")</f>
        <v>0</v>
      </c>
      <c r="L15" s="23">
        <f>SUMIFS($K$61:$K$484,$B$61:$B$484,"2024-2025",$F$61:$F$484,"BSW**",$I$61:$I$484,"*Print*",$H$61:$H$484,"Unstuck*")</f>
        <v>0</v>
      </c>
      <c r="M15" s="23">
        <f>SUMIFS($K$61:$K$484,$B$61:$B$484,"2025-2026",$F$61:$F$484,"BSW**",$I$61:$I$484,"*Creative*",$H$61:$H$484,"Unstuck*")</f>
        <v>75</v>
      </c>
      <c r="N15" s="23">
        <f>SUMIFS($K$61:$K$484,$B$61:$B$484,"2025-2026",$F$61:$F$484,"BSW**",$I$61:$I$484,"*Print*",$H$61:$H$484,"Unstuck*")</f>
        <v>0</v>
      </c>
      <c r="O15" s="2"/>
    </row>
    <row r="16" spans="1:15" ht="12.75" x14ac:dyDescent="0.2">
      <c r="A16" s="11"/>
      <c r="B16" s="11"/>
      <c r="C16" s="10"/>
      <c r="D16" s="11"/>
      <c r="E16" s="17"/>
      <c r="F16" s="17"/>
      <c r="G16" s="17"/>
      <c r="H16" s="17"/>
      <c r="I16" s="17"/>
      <c r="J16" s="17"/>
      <c r="K16" s="17"/>
      <c r="L16" s="7"/>
      <c r="M16" s="7"/>
      <c r="N16" s="7"/>
      <c r="O16" s="2"/>
    </row>
    <row r="17" spans="1:15" ht="12.75" x14ac:dyDescent="0.2">
      <c r="A17" s="36" t="s">
        <v>45</v>
      </c>
      <c r="B17" s="37">
        <f>SUM(E17:N21)</f>
        <v>46453.64</v>
      </c>
      <c r="C17" s="6" t="s">
        <v>66</v>
      </c>
      <c r="D17" s="33">
        <f>SUM(E17:N17)</f>
        <v>13990.680000000002</v>
      </c>
      <c r="E17" s="22">
        <f>SUMIFS($K$61:$K$484,$B$61:$B$484,"2021-2022",$F$61:$F$484,"Strategy Deployment",$I$61:$I$484,"*Creative*",$H$61:$H$484,"DKB*")</f>
        <v>0</v>
      </c>
      <c r="F17" s="22">
        <f>SUMIFS($K$61:$K$484,$B$61:$B$484,"2021-2022",$F$61:$F$484,"Strategy Deployment",$I$61:$I$484,"*Print*",$H$61:$H$484,"DKB*")</f>
        <v>0</v>
      </c>
      <c r="G17" s="22">
        <f>SUMIFS($K$61:$K$484,$B$61:$B$484,"2022-2023",$F$61:$F$484,"Strategy Deployment",$I$61:$I$484,"*Creative*",$H$61:$H$484,"DKB*")</f>
        <v>0</v>
      </c>
      <c r="H17" s="22">
        <f>SUMIFS($K$61:$K$484,$B$61:$B$484,"2022-2023",$F$61:$F$484,"Strategy Deployment",$I$61:$I$484,"*Print*",$H$61:$H$484,"DKB*")</f>
        <v>0</v>
      </c>
      <c r="I17" s="22">
        <f>SUMIFS($K$61:$K$484,$B$61:$B$484,"2023-2024",$F$61:$F$484,"Strategy Deployment",$I$61:$I$484,"*Creative*",$H$61:$H$484,"DKB*")</f>
        <v>2320</v>
      </c>
      <c r="J17" s="22">
        <f>SUMIFS($K$61:$K$484,$B$61:$B$484,"2023-2024",$F$61:$F$484,"Strategy Deployment",$I$61:$I$484,"*Print*",$H$61:$H$484,"DKB*")</f>
        <v>4775.0199999999995</v>
      </c>
      <c r="K17" s="22">
        <f>SUMIFS($K$61:$K$484,$B$61:$B$484,"2024-2025",$F$61:$F$484,"Strategy Deployment",$I$61:$I$484,"*Creative*",$H$61:$H$484,"DKB*")</f>
        <v>3822</v>
      </c>
      <c r="L17" s="23">
        <f>SUMIFS($K$61:$K$484,$B$61:$B$484,"2024-2025",$F$61:$F$484,"Strategy Deployment",$I$61:$I$484,"*Print*",$H$61:$H$484,"DKB*")</f>
        <v>2328.4700000000003</v>
      </c>
      <c r="M17" s="23">
        <f>SUMIFS($K$61:$K$484,$B$61:$B$484,"2025-2026",$F$61:$F$484,"Strategy Deployment",$I$61:$I$484,"*Creative*",$H$61:$H$484,"DKB*")</f>
        <v>630</v>
      </c>
      <c r="N17" s="23">
        <f>SUMIFS($K$61:$K$484,$B$61:$B$484,"2025-2026",$F$61:$F$484,"Strategy Deployment",$I$61:$I$484,"*Print*",$H$61:$H$484,"DKB*")</f>
        <v>115.19</v>
      </c>
      <c r="O17" s="2"/>
    </row>
    <row r="18" spans="1:15" ht="12.75" x14ac:dyDescent="0.2">
      <c r="A18" s="36"/>
      <c r="B18" s="37"/>
      <c r="C18" s="6" t="s">
        <v>16</v>
      </c>
      <c r="D18" s="33">
        <f>SUM(E18:N18)</f>
        <v>600</v>
      </c>
      <c r="E18" s="22">
        <f>SUMIFS($K$61:$K$484,$B$61:$B$484,"2021-2022",$F$61:$F$484,"Strategy Deployment",$I$61:$I$484,"*Creative*",$H$61:$H$484,"NewZapp")</f>
        <v>600</v>
      </c>
      <c r="F18" s="22">
        <f>SUMIFS($K$61:$K$484,$B$61:$B$484,"2021-2022",$F$61:$F$484,"Strategy Deployment",$I$61:$I$484,"*Print*",$H$61:$H$484,"NewZapp**")</f>
        <v>0</v>
      </c>
      <c r="G18" s="22">
        <f>SUMIFS($K$61:$K$484,$B$61:$B$484,"2022-2023",$F$61:$F$484,"Strategy Deployment",$I$61:$I$484,"*Creative*",$H$61:$H$484,"NewZapp**")</f>
        <v>0</v>
      </c>
      <c r="H18" s="22">
        <f>SUMIFS($K$61:$K$484,$B$61:$B$484,"2022-2023",$F$61:$F$484,"Strategy Deployment",$I$61:$I$484,"*Print*",$H$61:$H$484,"NewZapp**")</f>
        <v>0</v>
      </c>
      <c r="I18" s="22">
        <f>SUMIFS($K$61:$K$484,$B$61:$B$484,"2023-2024",$F$61:$F$484,"Strategy Deployment",$I$61:$I$484,"*Creative*",$H$61:$H$484,"NewZapp**")</f>
        <v>0</v>
      </c>
      <c r="J18" s="22">
        <f>SUMIFS($K$61:$K$484,$B$61:$B$484,"2023-2024",$F$61:$F$484,"Strategy Deployment",$I$61:$I$484,"*Print*",$H$61:$H$484,"NewZapp**")</f>
        <v>0</v>
      </c>
      <c r="K18" s="22">
        <f>SUMIFS($K$61:$K$484,$B$61:$B$484,"2024-2025",$F$61:$F$484,"Strategy Deployment",$I$61:$I$484,"*Creative*",$H$61:$H$484,"NewZapp**")</f>
        <v>0</v>
      </c>
      <c r="L18" s="23">
        <f>SUMIFS($K$61:$K$484,$B$61:$B$484,"2024-2025",$F$61:$F$484,"Strategy Deployment",$I$61:$I$484,"*Print*",$H$61:$H$484,"NewZapp**")</f>
        <v>0</v>
      </c>
      <c r="M18" s="23">
        <f>SUMIFS($K$61:$K$484,$B$61:$B$484,"2025-2026",$F$61:$F$484,"Strategy Deployment",$I$61:$I$484,"*Creative*",$H$61:$H$484,"NewZapp**")</f>
        <v>0</v>
      </c>
      <c r="N18" s="23">
        <f>SUMIFS($K$61:$K$484,$B$61:$B$484,"2025-2026",$F$61:$F$484,"Strategy Deployment",$I$61:$I$484,"*Print*",$H$61:$H$484,"NewZapp**")</f>
        <v>0</v>
      </c>
      <c r="O18" s="2"/>
    </row>
    <row r="19" spans="1:15" ht="12.75" x14ac:dyDescent="0.2">
      <c r="A19" s="36"/>
      <c r="B19" s="37"/>
      <c r="C19" s="6" t="s">
        <v>30</v>
      </c>
      <c r="D19" s="33">
        <f>SUM(E19:N19)</f>
        <v>5440.4600000000009</v>
      </c>
      <c r="E19" s="22">
        <f>SUMIFS($K$61:$K$484,$B$61:$B$484,"2021-2022",$F$61:$F$484,"Strategy Deployment",$I$61:$I$484,"*Creative*",$H$61:$H$484,"Signs Express**")</f>
        <v>0</v>
      </c>
      <c r="F19" s="22">
        <f>SUMIFS($K$61:$K$484,$B$61:$B$484,"2021-2022",$F$61:$F$484,"Strategy Deployment",$I$61:$I$484,"*Print*",$H$61:$H$484,"Signs Express**")</f>
        <v>0</v>
      </c>
      <c r="G19" s="22">
        <f>SUMIFS($K$61:$K$484,$B$61:$B$484,"2022-2023",$F$61:$F$484,"Strategy Deployment",$I$61:$I$484,"*Creative*",$H$61:$H$484,"Signs Express**")</f>
        <v>0</v>
      </c>
      <c r="H19" s="22">
        <f>SUMIFS($K$61:$K$484,$B$61:$B$484,"2022-2023",$F$61:$F$484,"Strategy Deployment",$I$61:$I$484,"*Print*",$H$61:$H$484,"Signs Express**")</f>
        <v>360</v>
      </c>
      <c r="I19" s="22">
        <f>SUMIFS($K$61:$K$484,$B$61:$B$484,"2023-2024",$F$61:$F$484,"Strategy Deployment",$I$61:$I$484,"*Creative*",$H$61:$H$484,"Signs Express**")</f>
        <v>0</v>
      </c>
      <c r="J19" s="22">
        <f>SUMIFS($K$61:$K$484,$B$61:$B$484,"2023-2024",$F$61:$F$484,"Strategy Deployment",$I$61:$I$484,"*Print*",$H$61:$H$484,"Signs Express**")</f>
        <v>4741.6900000000005</v>
      </c>
      <c r="K19" s="22">
        <f>SUMIFS($K$61:$K$484,$B$61:$B$484,"2024-2025",$F$61:$F$484,"Strategy Deployment",$I$61:$I$484,"*Creative*",$H$61:$H$484,"Signs Express**")</f>
        <v>0</v>
      </c>
      <c r="L19" s="23">
        <f>SUMIFS($K$61:$K$484,$B$61:$B$484,"2024-2025",$F$61:$F$484,"Strategy Deployment",$I$61:$I$484,"*Print*",$H$61:$H$484,"Signs Express**")</f>
        <v>338.77</v>
      </c>
      <c r="M19" s="23">
        <f>SUMIFS($K$61:$K$484,$B$61:$B$484,"2025-2026",$F$61:$F$484,"Strategy Deployment",$I$61:$I$484,"*Creative*",$H$61:$H$484,"Signs Express**")</f>
        <v>0</v>
      </c>
      <c r="N19" s="23">
        <f>SUMIFS($K$61:$K$484,$B$61:$B$484,"2025-2026",$F$61:$F$484,"Strategy Deployment",$I$61:$I$484,"*Print*",$H$61:$H$484,"Signs Express**")</f>
        <v>0</v>
      </c>
      <c r="O19" s="2"/>
    </row>
    <row r="20" spans="1:15" ht="12.75" x14ac:dyDescent="0.2">
      <c r="A20" s="36"/>
      <c r="B20" s="37"/>
      <c r="C20" s="13" t="s">
        <v>141</v>
      </c>
      <c r="D20" s="33">
        <f>SUM(E20:N20)</f>
        <v>190</v>
      </c>
      <c r="E20" s="22">
        <f>SUMIFS($K$61:$K$484,$B$61:$B$484,"2021-2022",$F$61:$F$484,"Strategy Deployment*",$I$61:$I$484,"*Creative*",$H$61:$H$484,"Signs In**")</f>
        <v>0</v>
      </c>
      <c r="F20" s="22">
        <f>SUMIFS($K$61:$K$484,$B$61:$B$484,"2021-2022",$F$61:$F$484,"Strategy Deployment*",$I$61:$I$484,"*Print*",$H$61:$H$484,"Signs In**")</f>
        <v>0</v>
      </c>
      <c r="G20" s="22">
        <f>SUMIFS($K$61:$K$484,$B$61:$B$484,"2022-2023",$F$61:$F$484,"Strategy Deployment**",$I$61:$I$484,"*Creative*",$H$61:$H$484,"Signs In**")</f>
        <v>0</v>
      </c>
      <c r="H20" s="22">
        <f>SUMIFS($K$61:$K$484,$B$61:$B$484,"2022-2023",$F$61:$F$484,"Strategy Deployment**",$I$61:$I$484,"*Print*",$H$61:$H$484,"Signs In**")</f>
        <v>0</v>
      </c>
      <c r="I20" s="22">
        <f>SUMIFS($K$61:$K$484,$B$61:$B$484,"2023-2024",$F$61:$F$484,"Strategy Deployment**",$I$61:$I$484,"*Creative*",$H$61:$H$484,"Signs In**")</f>
        <v>0</v>
      </c>
      <c r="J20" s="22">
        <f>SUMIFS($K$61:$K$484,$B$61:$B$484,"2023-2024",$F$61:$F$484,"Strategy Deployment**",$I$61:$I$484,"*Print*",$H$61:$H$484,"Signs In**")</f>
        <v>190</v>
      </c>
      <c r="K20" s="22">
        <f>SUMIFS($K$61:$K$484,$B$61:$B$484,"2024-2025",$F$61:$F$484,"Strategy Deployment**",$I$61:$I$484,"*Creative*",$H$61:$H$484,"Signs In**")</f>
        <v>0</v>
      </c>
      <c r="L20" s="23">
        <f>SUMIFS($K$61:$K$484,$B$61:$B$484,"2024-2025",$F$61:$F$484,"Strategy Deployment**",$I$61:$I$484,"*Print*",$H$61:$H$484,"Signs In**")</f>
        <v>0</v>
      </c>
      <c r="M20" s="23">
        <f>SUMIFS($K$61:$K$484,$B$61:$B$484,"2025-2026",$F$61:$F$484,"Strategy Deployment**",$I$61:$I$484,"*Creative*",$H$61:$H$484,"Signs In**")</f>
        <v>0</v>
      </c>
      <c r="N20" s="23">
        <f>SUMIFS($K$61:$K$484,$B$61:$B$484,"2025-2026",$F$61:$F$484,"Strategy Deployment**",$I$61:$I$484,"*Print*",$H$61:$H$484,"Signs In*")</f>
        <v>0</v>
      </c>
      <c r="O20" s="2"/>
    </row>
    <row r="21" spans="1:15" ht="38.25" x14ac:dyDescent="0.2">
      <c r="A21" s="36"/>
      <c r="B21" s="37"/>
      <c r="C21" s="6" t="s">
        <v>289</v>
      </c>
      <c r="D21" s="33">
        <f>SUM(E21:N21)</f>
        <v>26232.5</v>
      </c>
      <c r="E21" s="22">
        <f>SUMIFS($K$61:$K$484,$B$61:$B$484,"2021-2022",$F$61:$F$484,"Strategy Deployment",$I$61:$I$484,"*Creative*",$H$61:$H$484,"Unstuck**")</f>
        <v>8707.5</v>
      </c>
      <c r="F21" s="22">
        <f>SUMIFS($K$61:$K$484,$B$61:$B$484,"2021-2022",$F$61:$F$484,"Strategy Deployment",$I$61:$I$484,"*Print*",$H$61:$H$484,"Unstuck**")</f>
        <v>0</v>
      </c>
      <c r="G21" s="22">
        <f>SUMIFS($K$61:$K$484,$B$61:$B$484,"2022-2023",$F$61:$F$484,"Strategy Deployment",$I$61:$I$484,"*Creative*",$H$61:$H$484,"Unstuck**")</f>
        <v>3020</v>
      </c>
      <c r="H21" s="22">
        <f>SUMIFS($K$61:$K$484,$B$61:$B$484,"2022-2023",$F$61:$F$484,"Strategy Deployment",$I$61:$I$484,"*Print*",$H$61:$H$484,"Unstuck**")</f>
        <v>0</v>
      </c>
      <c r="I21" s="22">
        <f>SUMIFS($K$61:$K$484,$B$61:$B$484,"2023-2024",$F$61:$F$484,"Strategy Deployment",$I$61:$I$484,"*Creative*",$H$61:$H$484,"Unstuck**")</f>
        <v>13560</v>
      </c>
      <c r="J21" s="22">
        <f>SUMIFS($K$61:$K$484,$B$61:$B$484,"2023-2024",$F$61:$F$484,"Strategy Deployment",$I$61:$I$484,"*Print*",$H$61:$H$484,"Unstuck**")</f>
        <v>0</v>
      </c>
      <c r="K21" s="22">
        <f>SUMIFS($K$61:$K$484,$B$61:$B$484,"2024-2025",$F$61:$F$484,"Strategy Deployment",$I$61:$I$484,"*Creative*",$H$61:$H$484,"Unstuck**")</f>
        <v>945</v>
      </c>
      <c r="L21" s="23">
        <f>SUMIFS($K$61:$K$484,$B$61:$B$484,"2024-2025",$F$61:$F$484,"Strategy Deployment",$I$61:$I$484,"*Print*",$H$61:$H$484,"Unstuck**")</f>
        <v>0</v>
      </c>
      <c r="M21" s="23">
        <f>SUMIFS($K$61:$K$484,$B$61:$B$484,"2025-2026",$F$61:$F$484,"Strategy Deployment",$I$61:$I$484,"*Creative*",$H$61:$H$484,"Unstuck**")</f>
        <v>0</v>
      </c>
      <c r="N21" s="23">
        <f>SUMIFS($K$61:$K$484,$B$61:$B$484,"2025-2026",$F$61:$F$484,"Strategy Deployment",$I$61:$I$484,"*Print*",$H$61:$H$484,"Unstuck**")</f>
        <v>0</v>
      </c>
      <c r="O21" s="2"/>
    </row>
    <row r="22" spans="1:15" ht="12.75" x14ac:dyDescent="0.2">
      <c r="A22" s="17"/>
      <c r="B22" s="17"/>
      <c r="C22" s="10"/>
      <c r="D22" s="17"/>
      <c r="E22" s="17"/>
      <c r="F22" s="17"/>
      <c r="G22" s="17"/>
      <c r="H22" s="17"/>
      <c r="I22" s="17"/>
      <c r="J22" s="17"/>
      <c r="K22" s="17"/>
      <c r="L22" s="7"/>
      <c r="M22" s="7"/>
      <c r="N22" s="7"/>
      <c r="O22" s="2"/>
    </row>
    <row r="23" spans="1:15" ht="18" x14ac:dyDescent="0.25">
      <c r="A23" s="28" t="s">
        <v>298</v>
      </c>
      <c r="B23" s="17"/>
      <c r="C23" s="10"/>
      <c r="D23" s="17"/>
      <c r="E23" s="17"/>
      <c r="F23" s="17"/>
      <c r="G23" s="17"/>
      <c r="H23" s="17"/>
      <c r="I23" s="17"/>
      <c r="J23" s="17"/>
      <c r="K23" s="17"/>
      <c r="L23" s="7"/>
      <c r="M23" s="7"/>
      <c r="N23" s="7"/>
      <c r="O23" s="2"/>
    </row>
    <row r="24" spans="1:15" ht="12.75" x14ac:dyDescent="0.2">
      <c r="A24" s="17"/>
      <c r="B24" s="17"/>
      <c r="C24" s="10"/>
      <c r="D24" s="17"/>
      <c r="E24" s="17"/>
      <c r="F24" s="17"/>
      <c r="G24" s="17"/>
      <c r="H24" s="17"/>
      <c r="I24" s="17"/>
      <c r="J24" s="17"/>
      <c r="K24" s="17"/>
      <c r="L24" s="7"/>
      <c r="M24" s="7"/>
      <c r="N24" s="7"/>
      <c r="O24" s="2"/>
    </row>
    <row r="25" spans="1:15" ht="12.75" x14ac:dyDescent="0.2">
      <c r="A25" s="17"/>
      <c r="B25" s="25" t="s">
        <v>138</v>
      </c>
      <c r="C25" s="10"/>
      <c r="D25" s="17"/>
      <c r="E25" s="17"/>
      <c r="F25" s="17"/>
      <c r="G25" s="17"/>
      <c r="H25" s="17"/>
      <c r="I25" s="17"/>
      <c r="J25" s="17"/>
      <c r="K25" s="17"/>
      <c r="L25" s="7"/>
      <c r="M25" s="7"/>
      <c r="N25" s="7"/>
      <c r="O25" s="2"/>
    </row>
    <row r="26" spans="1:15" ht="12.75" x14ac:dyDescent="0.2">
      <c r="A26" s="17"/>
      <c r="B26" s="24">
        <f>SUM(D28:D56)</f>
        <v>63112.070000000007</v>
      </c>
      <c r="C26" s="10"/>
      <c r="D26" s="2"/>
      <c r="E26" s="38" t="s">
        <v>9</v>
      </c>
      <c r="F26" s="38"/>
      <c r="G26" s="38" t="s">
        <v>55</v>
      </c>
      <c r="H26" s="38"/>
      <c r="I26" s="38" t="s">
        <v>107</v>
      </c>
      <c r="J26" s="38"/>
      <c r="K26" s="39" t="s">
        <v>108</v>
      </c>
      <c r="L26" s="39"/>
      <c r="M26" s="39" t="s">
        <v>109</v>
      </c>
      <c r="N26" s="39"/>
      <c r="O26" s="2"/>
    </row>
    <row r="27" spans="1:15" ht="25.5" x14ac:dyDescent="0.2">
      <c r="A27" s="9" t="s">
        <v>296</v>
      </c>
      <c r="B27" s="26" t="s">
        <v>294</v>
      </c>
      <c r="C27" s="9" t="s">
        <v>10</v>
      </c>
      <c r="D27" s="32" t="s">
        <v>293</v>
      </c>
      <c r="E27" s="9" t="s">
        <v>49</v>
      </c>
      <c r="F27" s="9" t="s">
        <v>295</v>
      </c>
      <c r="G27" s="9" t="s">
        <v>49</v>
      </c>
      <c r="H27" s="9" t="s">
        <v>295</v>
      </c>
      <c r="I27" s="9" t="s">
        <v>49</v>
      </c>
      <c r="J27" s="9" t="s">
        <v>295</v>
      </c>
      <c r="K27" s="9" t="s">
        <v>49</v>
      </c>
      <c r="L27" s="9" t="s">
        <v>295</v>
      </c>
      <c r="M27" s="8" t="s">
        <v>49</v>
      </c>
      <c r="N27" s="9" t="s">
        <v>295</v>
      </c>
      <c r="O27" s="2"/>
    </row>
    <row r="28" spans="1:15" s="4" customFormat="1" ht="12.75" x14ac:dyDescent="0.2">
      <c r="A28" s="9" t="s">
        <v>206</v>
      </c>
      <c r="B28" s="27">
        <f>SUM(E28:N28)</f>
        <v>1560</v>
      </c>
      <c r="C28" s="12" t="s">
        <v>14</v>
      </c>
      <c r="D28" s="33">
        <f>SUM(E28:N28)</f>
        <v>1560</v>
      </c>
      <c r="E28" s="21">
        <f>SUMIFS($K$61:$K$484,$B$61:$B$484,"2021-2022",$F$61:$F$484,"EDI",$I$61:$I$484,"*Creative*",$H$61:$H$484,"Unstuck*")</f>
        <v>0</v>
      </c>
      <c r="F28" s="21">
        <f>SUMIFS($K$61:$K$484,$B$61:$B$484,"2021-2022",$F$61:$F$484,"EDI",$I$61:$I$484,"*Print*",$H$61:$H$484,"Unstuck*")</f>
        <v>0</v>
      </c>
      <c r="G28" s="21">
        <f>SUMIFS($K$61:$K$484,$B$61:$B$484,"2022-2023",$F$61:$F$484,"EDI*",$I$61:$I$484,"*Creative*",$H$61:$H$484,"Unstuck*")</f>
        <v>1560</v>
      </c>
      <c r="H28" s="21">
        <f>SUMIFS($K$61:$K$484,$B$61:$B$484,"2022-2023",$F$61:$F$484,"EDI*",$I$61:$I$484,"*Print*",$H$61:$H$484,"Unstuck*")</f>
        <v>0</v>
      </c>
      <c r="I28" s="21">
        <f>SUMIFS($K$61:$K$484,$B$61:$B$484,"2023-2024",$F$61:$F$484,"EDI*",$I$61:$I$484,"*Creative*",$H$61:$H$484,"Unstuck*")</f>
        <v>0</v>
      </c>
      <c r="J28" s="21">
        <f>SUMIFS($K$61:$K$484,$B$61:$B$484,"2023-2024",$F$61:$F$484,"EDI*",$I$61:$I$484,"*Print*",$H$61:$H$484,"Unstuck*")</f>
        <v>0</v>
      </c>
      <c r="K28" s="21">
        <f>SUMIFS($K$61:$K$484,$B$61:$B$484,"2024-2025",$F$61:$F$484,"EDI*",$I$61:$I$484,"*Creative*",$H$61:$H$484,"Unstuck*")</f>
        <v>0</v>
      </c>
      <c r="L28" s="16">
        <f>SUMIFS($K$61:$K$484,$B$61:$B$484,"2024-2025",$F$61:$F$484,"EDI*",$I$61:$I$484,"*Print*",$H$61:$H$484,"Unstuck*")</f>
        <v>0</v>
      </c>
      <c r="M28" s="16">
        <f>SUMIFS($K$61:$K$484,$B$61:$B$484,"2025-2026",$F$61:$F$484,"EDI*",$I$61:$I$484,"*Creative*",$H$61:$H$484,"Unstuck*")</f>
        <v>0</v>
      </c>
      <c r="N28" s="16">
        <f>SUMIFS($K$61:$K$484,$B$61:$B$484,"2025-2026",$F$61:$F$484,"EDI*",$I$61:$I$484,"*Print*",$H$61:$H$484,"Unstuck*")</f>
        <v>0</v>
      </c>
    </row>
    <row r="29" spans="1:15" s="4" customFormat="1" ht="12.75" x14ac:dyDescent="0.2">
      <c r="A29" s="11"/>
      <c r="B29" s="11"/>
      <c r="C29" s="10"/>
      <c r="D29" s="11"/>
      <c r="E29" s="30"/>
      <c r="F29" s="30"/>
      <c r="G29" s="30"/>
      <c r="H29" s="30"/>
      <c r="I29" s="30"/>
      <c r="J29" s="30"/>
      <c r="K29" s="30"/>
      <c r="L29" s="31"/>
      <c r="M29" s="31"/>
      <c r="N29" s="31"/>
    </row>
    <row r="30" spans="1:15" s="4" customFormat="1" ht="12.75" x14ac:dyDescent="0.2">
      <c r="A30" s="36" t="s">
        <v>181</v>
      </c>
      <c r="B30" s="37">
        <f>SUM(E30:N31)</f>
        <v>5938</v>
      </c>
      <c r="C30" s="6" t="s">
        <v>66</v>
      </c>
      <c r="D30" s="33">
        <f>SUM(E30:N30)</f>
        <v>388</v>
      </c>
      <c r="E30" s="21">
        <f>SUMIFS($K$61:$K$484,$B$61:$B$484,"2021-2022",$F$61:$F$484,"Electronic*",$I$61:$I$484,"*Creative*",$H$61:$H$484,"DKB*")</f>
        <v>0</v>
      </c>
      <c r="F30" s="21">
        <f>SUMIFS($K$61:$K$484,$B$61:$B$484,"2021-2022",$F$61:$F$484,"Electronic*",$I$61:$I$484,"*Print*",$H$61:$H$484,"DKB*")</f>
        <v>0</v>
      </c>
      <c r="G30" s="21">
        <f>SUMIFS($K$61:$K$484,$B$61:$B$484,"2022-2023",$F$61:$F$484,"Electronic*",$I$61:$I$484,"*Creative*",$H$61:$H$484,"DKB*")</f>
        <v>0</v>
      </c>
      <c r="H30" s="21">
        <f>SUMIFS($K$61:$K$484,$B$61:$B$484,"2022-2023",$F$61:$F$484,"Electronic*",$I$61:$I$484,"*Print*",$H$61:$H$484,"DKB*")</f>
        <v>0</v>
      </c>
      <c r="I30" s="21">
        <f>SUMIFS($K$61:$K$484,$B$61:$B$484,"2023-2024",$F$61:$F$484,"Electronic*",$I$61:$I$484,"*Creative*",$H$61:$H$484,"DKB*")</f>
        <v>0</v>
      </c>
      <c r="J30" s="21">
        <f>SUMIFS($K$61:$K$484,$B$61:$B$484,"2023-2024",$F$61:$F$484,"Electronic*",$I$61:$I$484,"*Print*",$H$61:$H$484,"DKB*")</f>
        <v>0</v>
      </c>
      <c r="K30" s="21">
        <f>SUMIFS($K$61:$K$484,$B$61:$B$484,"2024-2025",$F$61:$F$484,"Electronic*",$I$61:$I$484,"*Creative*",$H$61:$H$484,"DKB*")</f>
        <v>52</v>
      </c>
      <c r="L30" s="16">
        <f>SUMIFS($K$61:$K$484,$B$61:$B$484,"2024-2025",$F$61:$F$484,"Electronic*",$I$61:$I$484,"*Print*",$H$61:$H$484,"DKB*")</f>
        <v>0</v>
      </c>
      <c r="M30" s="16">
        <f>SUMIFS($K$61:$K$484,$B$61:$B$484,"2025-2026",$F$61:$F$484,"Electronic*",$I$61:$I$484,"*Creative*",$H$61:$H$484,"DKB*")</f>
        <v>336</v>
      </c>
      <c r="N30" s="16">
        <f>SUMIFS($K$61:$K$484,$B$61:$B$484,"2025-2026",$F$61:$F$484,"Electronic*",$I$61:$I$484,"*Print*",$H$61:$H$484,"DKB*")</f>
        <v>0</v>
      </c>
    </row>
    <row r="31" spans="1:15" s="4" customFormat="1" ht="38.25" x14ac:dyDescent="0.2">
      <c r="A31" s="36"/>
      <c r="B31" s="37"/>
      <c r="C31" s="6" t="s">
        <v>289</v>
      </c>
      <c r="D31" s="33">
        <f>SUM(E31:N31)</f>
        <v>5550</v>
      </c>
      <c r="E31" s="21">
        <f>SUMIFS($K$61:$K$484,$B$61:$B$484,"2021-2022",$F$61:$F$484,"Electronic*",$I$61:$I$484,"*Creative*",$H$61:$H$484,"Unstuck*")</f>
        <v>0</v>
      </c>
      <c r="F31" s="21">
        <f>SUMIFS($K$61:$K$484,$B$61:$B$484,"2021-2022",$F$61:$F$484,"Electronic*",$I$61:$I$484,"*Print*",$H$61:$H$484,"Unstuck*")</f>
        <v>0</v>
      </c>
      <c r="G31" s="21">
        <f>SUMIFS($K$61:$K$484,$B$61:$B$484,"2022-2023",$F$61:$F$484,"Electronic**",$I$61:$I$484,"*Creative*",$H$61:$H$484,"Unstuck*")</f>
        <v>0</v>
      </c>
      <c r="H31" s="21">
        <f>SUMIFS($K$61:$K$484,$B$61:$B$484,"2022-2023",$F$61:$F$484,"Electronic**",$I$61:$I$484,"*Print*",$H$61:$H$484,"Unstuck*")</f>
        <v>0</v>
      </c>
      <c r="I31" s="21">
        <f>SUMIFS($K$61:$K$484,$B$61:$B$484,"2023-2024",$F$61:$F$484,"Electronic**",$I$61:$I$484,"*Creative*",$H$61:$H$484,"Unstuck*")</f>
        <v>5550</v>
      </c>
      <c r="J31" s="21">
        <f>SUMIFS($K$61:$K$484,$B$61:$B$484,"2023-2024",$F$61:$F$484,"Electronic**",$I$61:$I$484,"*Print*",$H$61:$H$484,"Unstuck*")</f>
        <v>0</v>
      </c>
      <c r="K31" s="21">
        <f>SUMIFS($K$61:$K$484,$B$61:$B$484,"2024-2025",$F$61:$F$484,"Electronic**",$I$61:$I$484,"*Creative*",$H$61:$H$484,"Unstuck*")</f>
        <v>0</v>
      </c>
      <c r="L31" s="16">
        <f>SUMIFS($K$61:$K$484,$B$61:$B$484,"2024-2025",$F$61:$F$484,"Electronic**",$I$61:$I$484,"*Print*",$H$61:$H$484,"Unstuck*")</f>
        <v>0</v>
      </c>
      <c r="M31" s="16">
        <f>SUMIFS($K$61:$K$484,$B$61:$B$484,"2025-2026",$F$61:$F$484,"Electronic**",$I$61:$I$484,"*Creative*",$H$61:$H$484,"Unstuck*")</f>
        <v>0</v>
      </c>
      <c r="N31" s="16">
        <f>SUMIFS($K$61:$K$484,$B$61:$B$484,"2025-2026",$F$61:$F$484,"Electronic**",$I$61:$I$484,"*Print*",$H$61:$H$484,"Unstuck*")</f>
        <v>0</v>
      </c>
    </row>
    <row r="32" spans="1:15" s="4" customFormat="1" ht="12.75" x14ac:dyDescent="0.2">
      <c r="A32" s="11"/>
      <c r="B32" s="11"/>
      <c r="D32" s="11"/>
    </row>
    <row r="33" spans="1:14" s="4" customFormat="1" ht="12.75" x14ac:dyDescent="0.2">
      <c r="A33" s="36" t="s">
        <v>82</v>
      </c>
      <c r="B33" s="37">
        <f>SUM(E33:N34)</f>
        <v>1282.26</v>
      </c>
      <c r="C33" s="6" t="s">
        <v>66</v>
      </c>
      <c r="D33" s="33">
        <f>SUM(E33:N33)</f>
        <v>607.26</v>
      </c>
      <c r="E33" s="21">
        <f>SUMIFS($K$61:$K$484,$B$61:$B$484,"2021-2022",$F$61:$F$484,"Green*",$I$61:$I$484,"*Creative*",$H$61:$H$484,"DKB*")</f>
        <v>0</v>
      </c>
      <c r="F33" s="21">
        <f>SUMIFS($K$61:$K$484,$B$61:$B$484,"2021-2022",$F$61:$F$484,"Green*",$I$61:$I$484,"*Print*",$H$61:$H$484,"DKB*")</f>
        <v>0</v>
      </c>
      <c r="G33" s="21">
        <f>SUMIFS($K$61:$K$484,$B$61:$B$484,"2022-2023",$F$61:$F$484,"Green**",$I$61:$I$484,"*Creative*",$H$61:$H$484,"DKB*")</f>
        <v>150</v>
      </c>
      <c r="H33" s="21">
        <f>SUMIFS($K$61:$K$484,$B$61:$B$484,"2022-2023",$F$61:$F$484,"Green**",$I$61:$I$484,"*Print*",$H$61:$H$484,"DKB*")</f>
        <v>0</v>
      </c>
      <c r="I33" s="21">
        <f>SUMIFS($K$61:$K$484,$B$61:$B$484,"2023-2024",$F$61:$F$484,"Green**",$I$61:$I$484,"*Creative*",$H$61:$H$484,"DKB*")</f>
        <v>120</v>
      </c>
      <c r="J33" s="21">
        <f>SUMIFS($K$61:$K$484,$B$61:$B$484,"2023-2024",$F$61:$F$484,"Green**",$I$61:$I$484,"*Print*",$H$61:$H$484,"DKB**")</f>
        <v>0</v>
      </c>
      <c r="K33" s="21">
        <f>SUMIFS($K$61:$K$484,$B$61:$B$484,"2024-2025",$F$61:$F$484,"Green**",$I$61:$I$484,"*Creative*",$H$61:$H$484,"DKB**")</f>
        <v>252</v>
      </c>
      <c r="L33" s="16">
        <f>SUMIFS($K$61:$K$484,$B$61:$B$484,"2024-2025",$F$61:$F$484,"Green**",$I$61:$I$484,"*Print*",$H$61:$H$484,"DKB**")</f>
        <v>85.259999999999991</v>
      </c>
      <c r="M33" s="16">
        <f>SUMIFS($K$61:$K$484,$B$61:$B$484,"2025-2026",$F$61:$F$484,"Green**",$I$61:$I$484,"*Creative*",$H$61:$H$484,"DKB**")</f>
        <v>0</v>
      </c>
      <c r="N33" s="16">
        <f>SUMIFS($K$61:$K$484,$B$61:$B$484,"2025-2026",$F$61:$F$484,"Green**",$I$61:$I$484,"*Print*",$H$61:$H$484,"DKB**")</f>
        <v>0</v>
      </c>
    </row>
    <row r="34" spans="1:14" s="4" customFormat="1" ht="12.75" x14ac:dyDescent="0.2">
      <c r="A34" s="36"/>
      <c r="B34" s="37"/>
      <c r="C34" s="12" t="s">
        <v>141</v>
      </c>
      <c r="D34" s="33">
        <f>SUM(E34:N34)</f>
        <v>675</v>
      </c>
      <c r="E34" s="21">
        <f>SUMIFS($K$61:$K$484,$B$61:$B$484,"2021-2022",$F$61:$F$484,"Green*",$I$61:$I$484,"*Creative*",$H$61:$H$484,"Signs**")</f>
        <v>0</v>
      </c>
      <c r="F34" s="21">
        <f>SUMIFS($K$61:$K$484,$B$61:$B$484,"2021-2022",$F$61:$F$484,"Green*",$I$61:$I$484,"*Print*",$H$61:$H$484,"Signs**")</f>
        <v>0</v>
      </c>
      <c r="G34" s="21">
        <f>SUMIFS($K$61:$K$484,$B$61:$B$484,"2022-2023",$F$61:$F$484,"Green**",$I$61:$I$484,"*Creative*",$H$61:$H$484,"Signs**")</f>
        <v>0</v>
      </c>
      <c r="H34" s="21">
        <f>SUMIFS($K$61:$K$484,$B$61:$B$484,"2022-2023",$F$61:$F$484,"Green**",$I$61:$I$484,"*Print*",$H$61:$H$484,"Signs**")</f>
        <v>0</v>
      </c>
      <c r="I34" s="21">
        <f>SUMIFS($K$61:$K$484,$B$61:$B$484,"2023-2024",$F$61:$F$484,"Green**",$I$61:$I$484,"*Creative*",$H$61:$H$484,"Signs**")</f>
        <v>0</v>
      </c>
      <c r="J34" s="21">
        <f>SUMIFS($K$61:$K$484,$B$61:$B$484,"2023-2024",$F$61:$F$484,"Green**",$I$61:$I$484,"*Print*",$H$61:$H$484,"Signs**")</f>
        <v>420</v>
      </c>
      <c r="K34" s="21">
        <f>SUMIFS($K$61:$K$484,$B$61:$B$484,"2024-2025",$F$61:$F$484,"Green**",$I$61:$I$484,"*Creative*",$H$61:$H$484,"Signs**")</f>
        <v>0</v>
      </c>
      <c r="L34" s="16">
        <f>SUMIFS($K$61:$K$484,$B$61:$B$484,"2024-2025",$F$61:$F$484,"Green**",$I$61:$I$484,"*Print*",$H$61:$H$484,"Signs**")</f>
        <v>255</v>
      </c>
      <c r="M34" s="16">
        <f>SUMIFS($K$61:$K$484,$B$61:$B$484,"2025-2026",$F$61:$F$484,"Green**",$I$61:$I$484,"*Creative*",$H$61:$H$484,"Signs**")</f>
        <v>0</v>
      </c>
      <c r="N34" s="16">
        <f>SUMIFS($K$61:$K$484,$B$61:$B$484,"2025-2026",$F$61:$F$484,"Green**",$I$61:$I$484,"*Print*",$H$61:$H$484,"Signs**")</f>
        <v>0</v>
      </c>
    </row>
    <row r="35" spans="1:14" s="4" customFormat="1" ht="12.75" x14ac:dyDescent="0.2">
      <c r="A35" s="11"/>
      <c r="B35" s="11"/>
      <c r="C35" s="10"/>
      <c r="D35" s="11"/>
      <c r="E35" s="30"/>
      <c r="F35" s="30"/>
      <c r="G35" s="30"/>
      <c r="H35" s="30"/>
      <c r="I35" s="30"/>
      <c r="J35" s="30"/>
      <c r="K35" s="30"/>
      <c r="L35" s="31"/>
      <c r="M35" s="31"/>
      <c r="N35" s="31"/>
    </row>
    <row r="36" spans="1:14" s="4" customFormat="1" ht="12.75" x14ac:dyDescent="0.2">
      <c r="A36" s="36" t="s">
        <v>33</v>
      </c>
      <c r="B36" s="37">
        <f>SUM(E36:N41)</f>
        <v>14872.14</v>
      </c>
      <c r="C36" s="6" t="s">
        <v>66</v>
      </c>
      <c r="D36" s="33">
        <f t="shared" ref="D36:D41" si="0">SUM(E36:N36)</f>
        <v>3431.67</v>
      </c>
      <c r="E36" s="21">
        <f>SUMIFS($K$61:$K$484,$B$61:$B$484,"2021-2022",$F$61:$F$484,"Improving Together",$I$61:$I$484,"*Creative*",$H$61:$H$484,"DKB*")</f>
        <v>0</v>
      </c>
      <c r="F36" s="21">
        <f>SUMIFS($K$61:$K$484,$B$61:$B$484,"2021-2022",$F$61:$F$484,"Improving Together",$I$61:$I$484,"*Print*",$H$61:$H$484,"DKB*")</f>
        <v>0</v>
      </c>
      <c r="G36" s="21">
        <f>SUMIFS($K$61:$K$484,$B$61:$B$484,"2022-2023",$F$61:$F$484,"Improving Together",$I$61:$I$484,"*Creative*",$H$61:$H$484,"DKB*")</f>
        <v>120</v>
      </c>
      <c r="H36" s="21">
        <f>SUMIFS($K$61:$K$484,$B$61:$B$484,"2022-2023",$F$61:$F$484,"Improving Together",$I$61:$I$484,"*Print*",$H$61:$H$484,"DKB*")</f>
        <v>366.65999999999997</v>
      </c>
      <c r="I36" s="21">
        <f>SUMIFS($K$61:$K$484,$B$61:$B$484,"2023-2024",$F$61:$F$484,"Improving Together",$I$61:$I$484,"*Creative*",$H$61:$H$484,"DKB*")</f>
        <v>940</v>
      </c>
      <c r="J36" s="21">
        <f>SUMIFS($K$61:$K$484,$B$61:$B$484,"2023-2024",$F$61:$F$484,"Improving Together",$I$61:$I$484,"*Print*",$H$61:$H$484,"DKB*")</f>
        <v>967.5</v>
      </c>
      <c r="K36" s="21">
        <f>SUMIFS($K$61:$K$484,$B$61:$B$484,"2024-2025",$F$61:$F$484,"Improving Together",$I$61:$I$484,"*Creative*",$H$61:$H$484,"DKB*")</f>
        <v>120</v>
      </c>
      <c r="L36" s="16">
        <f>SUMIFS($K$61:$K$484,$B$61:$B$484,"2024-2025",$F$61:$F$484,"Improving Together",$I$61:$I$484,"*Print*",$H$61:$H$484,"DKB*")</f>
        <v>100.34</v>
      </c>
      <c r="M36" s="16">
        <f>SUMIFS($K$61:$K$484,$B$61:$B$484,"2025-2026",$F$61:$F$484,"Improving Together",$I$61:$I$484,"*Creative*",$H$61:$H$484,"DKB*")</f>
        <v>649</v>
      </c>
      <c r="N36" s="16">
        <f>SUMIFS($K$61:$K$484,$B$61:$B$484,"2025-2026",$F$61:$F$484,"Improving Together",$I$61:$I$484,"*Print*",$H$61:$H$484,"DKB*")</f>
        <v>168.17000000000002</v>
      </c>
    </row>
    <row r="37" spans="1:14" s="4" customFormat="1" ht="12.75" x14ac:dyDescent="0.2">
      <c r="A37" s="36"/>
      <c r="B37" s="37"/>
      <c r="C37" s="6" t="s">
        <v>95</v>
      </c>
      <c r="D37" s="33">
        <f t="shared" si="0"/>
        <v>63.599999999999994</v>
      </c>
      <c r="E37" s="21">
        <f>SUMIFS($K$61:$K$484,$B$61:$B$484,"2021-2022",$F$61:$F$484,"Improving Together",$I$61:$I$484,"*Creative*",$H$61:$H$484,"Edible*")</f>
        <v>0</v>
      </c>
      <c r="F37" s="21">
        <f>SUMIFS($K$61:$K$484,$B$61:$B$484,"2021-2022",$F$61:$F$484,"Improving Together",$I$61:$I$484,"*Print*",$H$61:$H$484,"Edible*")</f>
        <v>0</v>
      </c>
      <c r="G37" s="21">
        <f>SUMIFS($K$61:$K$484,$B$61:$B$484,"2022-2023",$F$61:$F$484,"Improving Together",$I$61:$I$484,"*Creative*",$H$61:$H$484,"Edible*")</f>
        <v>0</v>
      </c>
      <c r="H37" s="21">
        <f>SUMIFS($K$61:$K$484,$B$61:$B$484,"2022-2023",$F$61:$F$484,"Improving Together",$I$61:$I$484,"*Print*",$H$61:$H$484,"Edible*")</f>
        <v>63.599999999999994</v>
      </c>
      <c r="I37" s="21">
        <f>SUMIFS($K$61:$K$484,$B$61:$B$484,"2023-2024",$F$61:$F$484,"Improving Together",$I$61:$I$484,"*Creative*",$H$61:$H$484,"Edible*")</f>
        <v>0</v>
      </c>
      <c r="J37" s="21">
        <f>SUMIFS($K$61:$K$484,$B$61:$B$484,"2023-2024",$F$61:$F$484,"Improving Together",$I$61:$I$484,"*Print*",$H$61:$H$484,"Edible*")</f>
        <v>0</v>
      </c>
      <c r="K37" s="21">
        <f>SUMIFS($K$61:$K$484,$B$61:$B$484,"2024-2025",$F$61:$F$484,"Improving Together",$I$61:$I$484,"*Creative*",$H$61:$H$484,"Edible*")</f>
        <v>0</v>
      </c>
      <c r="L37" s="16">
        <f>SUMIFS($K$61:$K$484,$B$61:$B$484,"2024-2025",$F$61:$F$484,"Improving Together",$I$61:$I$484,"*Print*",$H$61:$H$484,"Edible*")</f>
        <v>0</v>
      </c>
      <c r="M37" s="16">
        <f>SUMIFS($K$61:$K$484,$B$61:$B$484,"2025-2026",$F$61:$F$484,"Improving Together",$I$61:$I$484,"*Creative*",$H$61:$H$484,"Edible*")</f>
        <v>0</v>
      </c>
      <c r="N37" s="16">
        <f>SUMIFS($K$61:$K$484,$B$61:$B$484,"2025-2026",$F$61:$F$484,"Improving Together",$I$61:$I$484,"*Print*",$H$61:$H$484,"Edible*")</f>
        <v>0</v>
      </c>
    </row>
    <row r="38" spans="1:14" s="4" customFormat="1" ht="12.75" x14ac:dyDescent="0.2">
      <c r="A38" s="36"/>
      <c r="B38" s="37"/>
      <c r="C38" s="6" t="s">
        <v>30</v>
      </c>
      <c r="D38" s="33">
        <f t="shared" si="0"/>
        <v>2324.9</v>
      </c>
      <c r="E38" s="21">
        <f>SUMIFS($K$61:$K$484,$B$61:$B$484,"2021-2022",$F$61:$F$484,"Improving Together",$I$61:$I$484,"*Creative*",$H$61:$H$484,"Signs Express**")</f>
        <v>0</v>
      </c>
      <c r="F38" s="21">
        <f>SUMIFS($K$61:$K$484,$B$61:$B$484,"2021-2022",$F$61:$F$484,"Improving Together",$I$61:$I$484,"*Print*",$H$61:$H$484,"Signs Express**")</f>
        <v>0</v>
      </c>
      <c r="G38" s="21">
        <f>SUMIFS($K$61:$K$484,$B$61:$B$484,"2022-2023",$F$61:$F$484,"Improving Together",$I$61:$I$484,"*Creative*",$H$61:$H$484,"Signs Express**")</f>
        <v>0</v>
      </c>
      <c r="H38" s="21">
        <f>SUMIFS($K$61:$K$484,$B$61:$B$484,"2022-2023",$F$61:$F$484,"Improving Together",$I$61:$I$484,"*Print*",$H$61:$H$484,"Signs Express**")</f>
        <v>2324.9</v>
      </c>
      <c r="I38" s="21">
        <f>SUMIFS($K$61:$K$484,$B$61:$B$484,"2023-2024",$F$61:$F$484,"Improving Together",$I$61:$I$484,"*Creative*",$H$61:$H$484,"Signs Express**")</f>
        <v>0</v>
      </c>
      <c r="J38" s="21">
        <f>SUMIFS($K$61:$K$484,$B$61:$B$484,"2023-2024",$F$61:$F$484,"Improving Together",$I$61:$I$484,"*Print*",$H$61:$H$484,"Signs Express**")</f>
        <v>0</v>
      </c>
      <c r="K38" s="21">
        <f>SUMIFS($K$61:$K$484,$B$61:$B$484,"2024-2025",$F$61:$F$484,"Improving Together",$I$61:$I$484,"*Creative*",$H$61:$H$484,"Signs Express**")</f>
        <v>0</v>
      </c>
      <c r="L38" s="16">
        <f>SUMIFS($K$61:$K$484,$B$61:$B$484,"2024-2025",$F$61:$F$484,"Improving Together",$I$61:$I$484,"*Print*",$H$61:$H$484,"Signs Express**")</f>
        <v>0</v>
      </c>
      <c r="M38" s="16">
        <f>SUMIFS($K$61:$K$484,$B$61:$B$484,"2025-2026",$F$61:$F$484,"Improving Together",$I$61:$I$484,"*Creative*",$H$61:$H$484,"Signs Express**")</f>
        <v>0</v>
      </c>
      <c r="N38" s="16">
        <f>SUMIFS($K$61:$K$484,$B$61:$B$484,"2025-2026",$F$61:$F$484,"Improving Together",$I$61:$I$484,"*Print*",$H$61:$H$484,"Signs Express**")</f>
        <v>0</v>
      </c>
    </row>
    <row r="39" spans="1:14" s="4" customFormat="1" ht="12.75" x14ac:dyDescent="0.2">
      <c r="A39" s="36"/>
      <c r="B39" s="37"/>
      <c r="C39" s="6" t="s">
        <v>96</v>
      </c>
      <c r="D39" s="33">
        <f t="shared" si="0"/>
        <v>3059.39</v>
      </c>
      <c r="E39" s="21">
        <f>SUMIFS($K$61:$K$484,$B$61:$B$484,"2021-2022",$F$61:$F$484,"Improving Together",$I$61:$I$484,"*Creative*",$H$61:$H$484,"Total*")</f>
        <v>0</v>
      </c>
      <c r="F39" s="21">
        <f>SUMIFS($K$61:$K$484,$B$61:$B$484,"2021-2022",$F$61:$F$484,"Improving Together",$I$61:$I$484,"*Print*",$H$61:$H$484,"Total*")</f>
        <v>0</v>
      </c>
      <c r="G39" s="21">
        <f>SUMIFS($K$61:$K$484,$B$61:$B$484,"2022-2023",$F$61:$F$484,"Improving Together",$I$61:$I$484,"*Creative*",$H$61:$H$484,"Total*")</f>
        <v>0</v>
      </c>
      <c r="H39" s="21">
        <f>SUMIFS($K$61:$K$484,$B$61:$B$484,"2022-2023",$F$61:$F$484,"Improving Together",$I$61:$I$484,"*Print*",$H$61:$H$484,"Total*")</f>
        <v>2700</v>
      </c>
      <c r="I39" s="21">
        <f>SUMIFS($K$61:$K$484,$B$61:$B$484,"2023-2024",$F$61:$F$484,"Improving Together",$I$61:$I$484,"*Creative*",$H$61:$H$484,"Total*")</f>
        <v>0</v>
      </c>
      <c r="J39" s="21">
        <f>SUMIFS($K$61:$K$484,$B$61:$B$484,"2023-2024",$F$61:$F$484,"Improving Together",$I$61:$I$484,"*Print*",$H$61:$H$484,"Total*")</f>
        <v>359.39</v>
      </c>
      <c r="K39" s="21">
        <f>SUMIFS($K$61:$K$484,$B$61:$B$484,"2024-2025",$F$61:$F$484,"Improving Together",$I$61:$I$484,"*Creative*",$H$61:$H$484,"Total*")</f>
        <v>0</v>
      </c>
      <c r="L39" s="16">
        <f>SUMIFS($K$61:$K$484,$B$61:$B$484,"2024-2025",$F$61:$F$484,"Improving Together",$I$61:$I$484,"*Print*",$H$61:$H$484,"Total*")</f>
        <v>0</v>
      </c>
      <c r="M39" s="16">
        <f>SUMIFS($K$61:$K$484,$B$61:$B$484,"2025-2026",$F$61:$F$484,"Improving Together",$I$61:$I$484,"*Creative*",$H$61:$H$484,"Total*")</f>
        <v>0</v>
      </c>
      <c r="N39" s="16">
        <f>SUMIFS($K$61:$K$484,$B$61:$B$484,"2025-2026",$F$61:$F$484,"Improving Together",$I$61:$I$484,"*Print*",$H$61:$H$484,"Total*")</f>
        <v>0</v>
      </c>
    </row>
    <row r="40" spans="1:14" s="4" customFormat="1" ht="38.25" x14ac:dyDescent="0.2">
      <c r="A40" s="36"/>
      <c r="B40" s="37"/>
      <c r="C40" s="6" t="s">
        <v>289</v>
      </c>
      <c r="D40" s="33">
        <f t="shared" si="0"/>
        <v>5655</v>
      </c>
      <c r="E40" s="21">
        <f>SUMIFS($K$61:$K$484,$B$61:$B$484,"2021-2022",$F$61:$F$484,"Improving Together",$I$61:$I$484,"*Creative*",$H$61:$H$484,"Unstuck**")</f>
        <v>0</v>
      </c>
      <c r="F40" s="21">
        <f>SUMIFS($K$61:$K$484,$B$61:$B$484,"2021-2022",$F$61:$F$484,"Improving Together",$I$61:$I$484,"*Print*",$H$61:$H$484,"Unstuck**")</f>
        <v>0</v>
      </c>
      <c r="G40" s="21">
        <f>SUMIFS($K$61:$K$484,$B$61:$B$484,"2022-2023",$F$61:$F$484,"Improving Together",$I$61:$I$484,"*Creative*",$H$61:$H$484,"Unstuck**")</f>
        <v>4615</v>
      </c>
      <c r="H40" s="21">
        <f>SUMIFS($K$61:$K$484,$B$61:$B$484,"2022-2023",$F$61:$F$484,"Improving Together",$I$61:$I$484,"*Print*",$H$61:$H$484,"Unstuck**")</f>
        <v>0</v>
      </c>
      <c r="I40" s="21">
        <f>SUMIFS($K$61:$K$484,$B$61:$B$484,"2023-2024",$F$61:$F$484,"Improving Together",$I$61:$I$484,"*Creative*",$H$61:$H$484,"Unstuck**")</f>
        <v>0</v>
      </c>
      <c r="J40" s="21">
        <f>SUMIFS($K$61:$K$484,$B$61:$B$484,"2023-2024",$F$61:$F$484,"Improving Together",$I$61:$I$484,"*Print*",$H$61:$H$484,"Unstuck**")</f>
        <v>0</v>
      </c>
      <c r="K40" s="21">
        <f>SUMIFS($K$61:$K$484,$B$61:$B$484,"2024-2025",$F$61:$F$484,"Improving Together",$I$61:$I$484,"*Creative*",$H$61:$H$484,"Unstuck**")</f>
        <v>1040</v>
      </c>
      <c r="L40" s="16">
        <f>SUMIFS($K$61:$K$484,$B$61:$B$484,"2024-2025",$F$61:$F$484,"Improving Together",$I$61:$I$484,"*Print*",$H$61:$H$484,"Unstuck**")</f>
        <v>0</v>
      </c>
      <c r="M40" s="16">
        <f>SUMIFS($K$61:$K$484,$B$61:$B$484,"2025-2026",$F$61:$F$484,"Improving Together",$I$61:$I$484,"*Creative*",$H$61:$H$484,"Unstuck**")</f>
        <v>0</v>
      </c>
      <c r="N40" s="16">
        <f>SUMIFS($K$61:$K$484,$B$61:$B$484,"2025-2026",$F$61:$F$484,"Improving Together",$I$61:$I$484,"*Print*",$H$61:$H$484,"Unstuck**")</f>
        <v>0</v>
      </c>
    </row>
    <row r="41" spans="1:14" s="4" customFormat="1" ht="25.5" x14ac:dyDescent="0.2">
      <c r="A41" s="36"/>
      <c r="B41" s="37"/>
      <c r="C41" s="6" t="s">
        <v>157</v>
      </c>
      <c r="D41" s="33">
        <f t="shared" si="0"/>
        <v>337.58</v>
      </c>
      <c r="E41" s="21">
        <f>SUMIFS($K$61:$K$484,$B$61:$B$484,"2021-2022",$F$61:$F$484,"Improving Together",$I$61:$I$484,"*Creative*",$H$61:$H$484,"Workwear*")</f>
        <v>0</v>
      </c>
      <c r="F41" s="21">
        <f>SUMIFS($K$61:$K$484,$B$61:$B$484,"2021-2022",$F$61:$F$484,"Improving Together",$I$61:$I$484,"*Print*",$H$61:$H$484,"Workwear*")</f>
        <v>0</v>
      </c>
      <c r="G41" s="21">
        <f>SUMIFS($K$61:$K$484,$B$61:$B$484,"2022-2023",$F$61:$F$484,"Improving Together",$I$61:$I$484,"*Creative*",$H$61:$H$484,"Workwear*")</f>
        <v>0</v>
      </c>
      <c r="H41" s="21">
        <f>SUMIFS($K$61:$K$484,$B$61:$B$484,"2022-2023",$F$61:$F$484,"Improving Together",$I$61:$I$484,"*Print*",$H$61:$H$484,"Workwear*")</f>
        <v>0</v>
      </c>
      <c r="I41" s="21">
        <f>SUMIFS($K$61:$K$484,$B$61:$B$484,"2023-2024",$F$61:$F$484,"Improving Together",$I$61:$I$484,"*Creative*",$H$61:$H$484,"Workwear*")</f>
        <v>0</v>
      </c>
      <c r="J41" s="21">
        <f>SUMIFS($K$61:$K$484,$B$61:$B$484,"2023-2024",$F$61:$F$484,"Improving Together",$I$61:$I$484,"*Print*",$H$61:$H$484,"Workwear*")</f>
        <v>337.58</v>
      </c>
      <c r="K41" s="21">
        <f>SUMIFS($K$61:$K$484,$B$61:$B$484,"2024-2025",$F$61:$F$484,"Improving Together",$I$61:$I$484,"*Creative*",$H$61:$H$484,"Workwear*")</f>
        <v>0</v>
      </c>
      <c r="L41" s="16">
        <f>SUMIFS($K$61:$K$484,$B$61:$B$484,"2024-2025",$F$61:$F$484,"Improving Together",$I$61:$I$484,"*Print*",$H$61:$H$484,"Workwear*")</f>
        <v>0</v>
      </c>
      <c r="M41" s="16">
        <f>SUMIFS($K$61:$K$484,$B$61:$B$484,"2025-2026",$F$61:$F$484,"Improving Together",$I$61:$I$484,"*Creative*",$H$61:$H$484,"Workwear*")</f>
        <v>0</v>
      </c>
      <c r="N41" s="16">
        <f>SUMIFS($K$61:$K$484,$B$61:$B$484,"2025-2026",$F$61:$F$484,"Improving Together",$I$61:$I$484,"*Print*",$H$61:$H$484,"Workwear*")</f>
        <v>0</v>
      </c>
    </row>
    <row r="42" spans="1:14" s="4" customFormat="1" ht="12.75" x14ac:dyDescent="0.2">
      <c r="A42" s="11"/>
      <c r="B42" s="11"/>
      <c r="C42" s="10"/>
      <c r="D42" s="11"/>
      <c r="E42" s="30"/>
      <c r="F42" s="30"/>
      <c r="G42" s="30"/>
      <c r="H42" s="30"/>
      <c r="I42" s="30"/>
      <c r="J42" s="30"/>
      <c r="K42" s="30"/>
      <c r="L42" s="31"/>
      <c r="M42" s="31"/>
      <c r="N42" s="31"/>
    </row>
    <row r="43" spans="1:14" s="4" customFormat="1" ht="12.75" x14ac:dyDescent="0.2">
      <c r="A43" s="36" t="s">
        <v>142</v>
      </c>
      <c r="B43" s="37">
        <f>SUM(E43:N44)</f>
        <v>1528.5</v>
      </c>
      <c r="C43" s="6" t="s">
        <v>66</v>
      </c>
      <c r="D43" s="33">
        <f>SUM(E43:N43)</f>
        <v>1410</v>
      </c>
      <c r="E43" s="21">
        <f>SUMIFS($K$61:$K$484,$B$61:$B$484,"2021-2022",$F$61:$F$484,"Intranet",$I$61:$I$484,"*Creative*",$H$61:$H$484,"DKB*")</f>
        <v>0</v>
      </c>
      <c r="F43" s="21">
        <f>SUMIFS($K$61:$K$484,$B$61:$B$484,"2021-2022",$F$61:$F$484,"Intranet",$I$61:$I$484,"*Print*",$H$61:$H$484,"DKB*")</f>
        <v>0</v>
      </c>
      <c r="G43" s="21">
        <f>SUMIFS($K$61:$K$484,$B$61:$B$484,"2022-2023",$F$61:$F$484,"Intranet",$I$61:$I$484,"*Creative*",$H$61:$H$484,"DKB*")</f>
        <v>0</v>
      </c>
      <c r="H43" s="21">
        <f>SUMIFS($K$61:$K$484,$B$61:$B$484,"2022-2023",$F$61:$F$484,"Intranet",$I$61:$I$484,"*Print*",$H$61:$H$484,"DKB*")</f>
        <v>0</v>
      </c>
      <c r="I43" s="21">
        <f>SUMIFS($K$61:$K$484,$B$61:$B$484,"2023-2024",$F$61:$F$484,"Intranet",$I$61:$I$484,"*Creative*",$H$61:$H$484,"DKB*")</f>
        <v>360</v>
      </c>
      <c r="J43" s="21">
        <f>SUMIFS($K$61:$K$484,$B$61:$B$484,"2023-2024",$F$61:$F$484,"Intranet",$I$61:$I$484,"*Print*",$H$61:$H$484,"DKB*")</f>
        <v>0</v>
      </c>
      <c r="K43" s="21">
        <f>SUMIFS($K$61:$K$484,$B$61:$B$484,"2024-2025",$F$61:$F$484,"Intranet",$I$61:$I$484,"*Creative*",$H$61:$H$484,"DKB*")</f>
        <v>0</v>
      </c>
      <c r="L43" s="16">
        <f>SUMIFS($K$61:$K$484,$B$61:$B$484,"2024-2025",$F$61:$F$484,"Intranet",$I$61:$I$484,"*Print*",$H$61:$H$484,"DKB*")</f>
        <v>0</v>
      </c>
      <c r="M43" s="16">
        <f>SUMIFS($K$61:$K$484,$B$61:$B$484,"2025-2026",$F$61:$F$484,"Intranet",$I$61:$I$484,"*Creative*",$H$61:$H$484,"DKB*")</f>
        <v>1050</v>
      </c>
      <c r="N43" s="16">
        <f>SUMIFS($K$61:$K$484,$B$61:$B$484,"2025-2026",$F$61:$F$484,"Intranet",$I$61:$I$484,"*Print*",$H$61:$H$484,"DKB*")</f>
        <v>0</v>
      </c>
    </row>
    <row r="44" spans="1:14" s="4" customFormat="1" ht="12.75" x14ac:dyDescent="0.2">
      <c r="A44" s="36"/>
      <c r="B44" s="37"/>
      <c r="C44" s="6" t="s">
        <v>30</v>
      </c>
      <c r="D44" s="33">
        <f>SUM(E44:N44)</f>
        <v>118.5</v>
      </c>
      <c r="E44" s="21">
        <f>SUMIFS($K$61:$K$484,$B$61:$B$484,"2021-2022",$F$61:$F$484,"Intranet",$I$61:$I$484,"*Creative*",$H$61:$H$484,"Signs Express**")</f>
        <v>0</v>
      </c>
      <c r="F44" s="21">
        <f>SUMIFS($K$61:$K$484,$B$61:$B$484,"2021-2022",$F$61:$F$484,"Intranet",$I$61:$I$484,"*Print*",$H$61:$H$484,"Signs Express**")</f>
        <v>0</v>
      </c>
      <c r="G44" s="21">
        <f>SUMIFS($K$61:$K$484,$B$61:$B$484,"2022-2023",$F$61:$F$484,"Intranet",$I$61:$I$484,"*Creative*",$H$61:$H$484,"Signs Express**")</f>
        <v>0</v>
      </c>
      <c r="H44" s="21">
        <f>SUMIFS($K$61:$K$484,$B$61:$B$484,"2022-2023",$F$61:$F$484,"Intranet",$I$61:$I$484,"*Print*",$H$61:$H$484,"Signs Express**")</f>
        <v>0</v>
      </c>
      <c r="I44" s="21">
        <f>SUMIFS($K$61:$K$484,$B$61:$B$484,"2023-2024",$F$61:$F$484,"Intranet",$I$61:$I$484,"*Creative*",$H$61:$H$484,"Signs Express**")</f>
        <v>0</v>
      </c>
      <c r="J44" s="21">
        <f>SUMIFS($K$61:$K$484,$B$61:$B$484,"2023-2024",$F$61:$F$484,"Intranet",$I$61:$I$484,"*Print*",$H$61:$H$484,"Signs Express**")</f>
        <v>118.5</v>
      </c>
      <c r="K44" s="21">
        <f>SUMIFS($K$61:$K$484,$B$61:$B$484,"2024-2025",$F$61:$F$484,"Intranet",$I$61:$I$484,"*Creative*",$H$61:$H$484,"Signs Express**")</f>
        <v>0</v>
      </c>
      <c r="L44" s="16">
        <f>SUMIFS($K$61:$K$484,$B$61:$B$484,"2024-2025",$F$61:$F$484,"Intranet",$I$61:$I$484,"*Print*",$H$61:$H$484,"Signs Express**")</f>
        <v>0</v>
      </c>
      <c r="M44" s="16">
        <f>SUMIFS($K$61:$K$484,$B$61:$B$484,"2025-2026",$F$61:$F$484,"Intranet",$I$61:$I$484,"*Creative*",$H$61:$H$484,"Signs Express**")</f>
        <v>0</v>
      </c>
      <c r="N44" s="16">
        <f>SUMIFS($K$61:$K$484,$B$61:$B$484,"2025-2026",$F$61:$F$484,"Intranet",$I$61:$I$484,"*Print*",$H$61:$H$484,"Signs Express**")</f>
        <v>0</v>
      </c>
    </row>
    <row r="45" spans="1:14" s="4" customFormat="1" ht="12.75" x14ac:dyDescent="0.2">
      <c r="A45" s="11"/>
      <c r="B45" s="11"/>
      <c r="C45" s="10"/>
      <c r="D45" s="11"/>
      <c r="E45" s="30"/>
      <c r="F45" s="30"/>
      <c r="G45" s="30"/>
      <c r="H45" s="30"/>
      <c r="I45" s="30"/>
      <c r="J45" s="30"/>
      <c r="K45" s="30"/>
      <c r="L45" s="31"/>
      <c r="M45" s="31"/>
      <c r="N45" s="31"/>
    </row>
    <row r="46" spans="1:14" s="4" customFormat="1" ht="12.75" x14ac:dyDescent="0.2">
      <c r="A46" s="36" t="s">
        <v>208</v>
      </c>
      <c r="B46" s="37">
        <f>SUM(E46:N52)</f>
        <v>25061.17</v>
      </c>
      <c r="C46" s="6" t="s">
        <v>79</v>
      </c>
      <c r="D46" s="33">
        <f t="shared" ref="D46:D52" si="1">SUM(E46:N46)</f>
        <v>665.95</v>
      </c>
      <c r="E46" s="21">
        <f>SUMIFS($K$61:$K$484,$B$61:$B$484,"2021-2022",$F$61:$F$484,"Staff Awards*",$I$61:$I$484,"*Creative*",$H$61:$H$484,"4Imprint*")</f>
        <v>0</v>
      </c>
      <c r="F46" s="21">
        <f>SUMIFS($K$61:$K$484,$B$61:$B$484,"2021-2022",$F$61:$F$484,"Staff Awards*",$I$61:$I$484,"*Print*",$H$61:$H$484,"4Imprint*")</f>
        <v>0</v>
      </c>
      <c r="G46" s="21">
        <f>SUMIFS($K$61:$K$484,$B$61:$B$484,"2022-2023",$F$61:$F$484,"Staff Awards*",$I$61:$I$484,"*Creative*",$H$61:$H$484,"4Imprint*")</f>
        <v>0</v>
      </c>
      <c r="H46" s="21">
        <f>SUMIFS($K$61:$K$484,$B$61:$B$484,"2022-2023",$F$61:$F$484,"Staff Awards*",$I$61:$I$484,"*Print*",$H$61:$H$484,"4Imprint*")</f>
        <v>665.95</v>
      </c>
      <c r="I46" s="21">
        <f>SUMIFS($K$61:$K$484,$B$61:$B$484,"2023-2024",$F$61:$F$484,"Staff Awards*",$I$61:$I$484,"*Creative*",$H$61:$H$484,"4Imprint*")</f>
        <v>0</v>
      </c>
      <c r="J46" s="21">
        <f>SUMIFS($K$61:$K$484,$B$61:$B$484,"2023-2024",$F$61:$F$484,"Staff Awards*",$I$61:$I$484,"*Print*",$H$61:$H$484,"4Imprint*")</f>
        <v>0</v>
      </c>
      <c r="K46" s="21">
        <f>SUMIFS($K$61:$K$484,$B$61:$B$484,"2024-2025",$F$61:$F$484,"Staff Awards*",$I$61:$I$484,"*Creative*",$H$61:$H$484,"4Imprint*")</f>
        <v>0</v>
      </c>
      <c r="L46" s="16">
        <f>SUMIFS($K$61:$K$484,$B$61:$B$484,"2024-2025",$F$61:$F$484,"Staff Awards*",$I$61:$I$484,"*Print*",$H$61:$H$484,"4Imprint*")</f>
        <v>0</v>
      </c>
      <c r="M46" s="16">
        <f>SUMIFS($K$61:$K$484,$B$61:$B$484,"2025-2026",$F$61:$F$484,"Staff Awards*",$I$61:$I$484,"*Creative*",$H$61:$H$484,"4Imprint*")</f>
        <v>0</v>
      </c>
      <c r="N46" s="16">
        <f>SUMIFS($K$61:$K$484,$B$61:$B$484,"2025-2026",$F$61:$F$484,"Staff Awards*",$I$61:$I$484,"*Print*",$H$61:$H$484,"4Imprint*")</f>
        <v>0</v>
      </c>
    </row>
    <row r="47" spans="1:14" s="4" customFormat="1" ht="12.75" x14ac:dyDescent="0.2">
      <c r="A47" s="36"/>
      <c r="B47" s="37"/>
      <c r="C47" s="6" t="s">
        <v>32</v>
      </c>
      <c r="D47" s="33">
        <f t="shared" si="1"/>
        <v>161</v>
      </c>
      <c r="E47" s="21">
        <f>SUMIFS($K$61:$K$484,$B$61:$B$484,"2021-2022",$F$61:$F$484,"Staff Awards*",$I$61:$I$484,"*Creative*",$H$61:$H$484,"Artcare*")</f>
        <v>0</v>
      </c>
      <c r="F47" s="21">
        <f>SUMIFS($K$61:$K$484,$B$61:$B$484,"2021-2022",$F$61:$F$484,"Staff Awards*",$I$61:$I$484,"*Print*",$H$61:$H$484,"Artcare*")</f>
        <v>161</v>
      </c>
      <c r="G47" s="21">
        <f>SUMIFS($K$61:$K$484,$B$61:$B$484,"2022-2023",$F$61:$F$484,"Staff Awards*",$I$61:$I$484,"*Creative*",$H$61:$H$484,"Artcare*")</f>
        <v>0</v>
      </c>
      <c r="H47" s="21">
        <f>SUMIFS($K$61:$K$484,$B$61:$B$484,"2022-2023",$F$61:$F$484,"Staff Awards*",$I$61:$I$484,"*Print*",$H$61:$H$484,"Artcare*")</f>
        <v>0</v>
      </c>
      <c r="I47" s="21">
        <f>SUMIFS($K$61:$K$484,$B$61:$B$484,"2023-2024",$F$61:$F$484,"Staff Awards*",$I$61:$I$484,"*Creative*",$H$61:$H$484,"Artcare*")</f>
        <v>0</v>
      </c>
      <c r="J47" s="21">
        <f>SUMIFS($K$61:$K$484,$B$61:$B$484,"2023-2024",$F$61:$F$484,"Staff Awards*",$I$61:$I$484,"*Print*",$H$61:$H$484,"Artcare*")</f>
        <v>0</v>
      </c>
      <c r="K47" s="21">
        <f>SUMIFS($K$61:$K$484,$B$61:$B$484,"2024-2025",$F$61:$F$484,"Staff Awards*",$I$61:$I$484,"*Creative*",$H$61:$H$484,"Artcare*")</f>
        <v>0</v>
      </c>
      <c r="L47" s="16">
        <f>SUMIFS($K$61:$K$484,$B$61:$B$484,"2024-2025",$F$61:$F$484,"Staff Awards*",$I$61:$I$484,"*Print*",$H$61:$H$484,"Artcare*")</f>
        <v>0</v>
      </c>
      <c r="M47" s="16">
        <f>SUMIFS($K$61:$K$484,$B$61:$B$484,"2025-2026",$F$61:$F$484,"Staff Awards*",$I$61:$I$484,"*Creative*",$H$61:$H$484,"Artcare*")</f>
        <v>0</v>
      </c>
      <c r="N47" s="16">
        <f>SUMIFS($K$61:$K$484,$B$61:$B$484,"2025-2026",$F$61:$F$484,"Staff Awards*",$I$61:$I$484,"*Print*",$H$61:$H$484,"Artcare*")</f>
        <v>0</v>
      </c>
    </row>
    <row r="48" spans="1:14" s="4" customFormat="1" ht="12.75" x14ac:dyDescent="0.2">
      <c r="A48" s="36"/>
      <c r="B48" s="37"/>
      <c r="C48" s="6" t="s">
        <v>66</v>
      </c>
      <c r="D48" s="33">
        <f t="shared" si="1"/>
        <v>1531.47</v>
      </c>
      <c r="E48" s="21">
        <f>SUMIFS($K$61:$K$484,$B$61:$B$484,"2021-2022",$F$61:$F$484,"Staff Awards*",$I$61:$I$484,"*Creative*",$H$61:$H$484,"DKB*")</f>
        <v>0</v>
      </c>
      <c r="F48" s="21">
        <f>SUMIFS($K$61:$K$484,$B$61:$B$484,"2021-2022",$F$61:$F$484,"Staff Awards*",$I$61:$I$484,"*Print*",$H$61:$H$484,"DKB*")</f>
        <v>0</v>
      </c>
      <c r="G48" s="21">
        <f>SUMIFS($K$61:$K$484,$B$61:$B$484,"2022-2023",$F$61:$F$484,"Staff Awards*",$I$61:$I$484,"*Creative*",$H$61:$H$484,"DKB*")</f>
        <v>0</v>
      </c>
      <c r="H48" s="21">
        <f>SUMIFS($K$61:$K$484,$B$61:$B$484,"2022-2023",$F$61:$F$484,"Staff Awards*",$I$61:$I$484,"*Print*",$H$61:$H$484,"DKB*")</f>
        <v>0</v>
      </c>
      <c r="I48" s="21">
        <f>SUMIFS($K$61:$K$484,$B$61:$B$484,"2023-2024",$F$61:$F$484,"Staff Awards*",$I$61:$I$484,"*Creative*",$H$61:$H$484,"DKB*")</f>
        <v>0</v>
      </c>
      <c r="J48" s="21">
        <f>SUMIFS($K$61:$K$484,$B$61:$B$484,"2023-2024",$F$61:$F$484,"Staff Awards*",$I$61:$I$484,"*Print*",$H$61:$H$484,"DKB*")</f>
        <v>0</v>
      </c>
      <c r="K48" s="21">
        <f>SUMIFS($K$61:$K$484,$B$61:$B$484,"2024-2025",$F$61:$F$484,"Staff Awards*",$I$61:$I$484,"*Creative*",$H$61:$H$484,"DKB*")</f>
        <v>895</v>
      </c>
      <c r="L48" s="16">
        <f>SUMIFS($K$61:$K$484,$B$61:$B$484,"2024-2025",$F$61:$F$484,"Staff Awards*",$I$61:$I$484,"*Print*",$H$61:$H$484,"DKB*")</f>
        <v>0</v>
      </c>
      <c r="M48" s="16">
        <f>SUMIFS($K$61:$K$484,$B$61:$B$484,"2025-2026",$F$61:$F$484,"Staff Awards*",$I$61:$I$484,"*Creative*",$H$61:$H$484,"DKB*")</f>
        <v>535</v>
      </c>
      <c r="N48" s="16">
        <f>SUMIFS($K$61:$K$484,$B$61:$B$484,"2025-2026",$F$61:$F$484,"Staff Awards*",$I$61:$I$484,"*Print*",$H$61:$H$484,"DKB*")</f>
        <v>101.47</v>
      </c>
    </row>
    <row r="49" spans="1:15" s="4" customFormat="1" ht="12.75" x14ac:dyDescent="0.2">
      <c r="A49" s="36"/>
      <c r="B49" s="37"/>
      <c r="C49" s="6" t="s">
        <v>31</v>
      </c>
      <c r="D49" s="33">
        <f t="shared" si="1"/>
        <v>0</v>
      </c>
      <c r="E49" s="21">
        <f>SUMIFS($K$61:$K$484,$B$61:$B$484,"2021-2022",$F$61:$F$484,"Staff Awards*",$I$61:$I$484,"*Creative*",$H$61:$H$484,"Internal*")</f>
        <v>0</v>
      </c>
      <c r="F49" s="21">
        <f>SUMIFS($K$61:$K$484,$B$61:$B$484,"2021-2022",$F$61:$F$484,"Staff Awards*",$I$61:$I$484,"*Print*",$H$61:$H$484,"Internal*")</f>
        <v>0</v>
      </c>
      <c r="G49" s="21">
        <f>SUMIFS($K$61:$K$484,$B$61:$B$484,"2022-2023",$F$61:$F$484,"Staff Awards*",$I$61:$I$484,"*Creative*",$H$61:$H$484,"Internal*")</f>
        <v>0</v>
      </c>
      <c r="H49" s="21">
        <f>SUMIFS($K$61:$K$484,$B$61:$B$484,"2022-2023",$F$61:$F$484,"Staff Awards*",$I$61:$I$484,"*Print*",$H$61:$H$484,"Internal*")</f>
        <v>0</v>
      </c>
      <c r="I49" s="21">
        <f>SUMIFS($K$61:$K$484,$B$61:$B$484,"2023-2024",$F$61:$F$484,"Staff Awards*",$I$61:$I$484,"*Creative*",$H$61:$H$484,"Internal*")</f>
        <v>0</v>
      </c>
      <c r="J49" s="21">
        <f>SUMIFS($K$61:$K$484,$B$61:$B$484,"2023-2024",$F$61:$F$484,"Staff Awards*",$I$61:$I$484,"*Print*",$H$61:$H$484,"Internal*")</f>
        <v>0</v>
      </c>
      <c r="K49" s="21">
        <f>SUMIFS($K$61:$K$484,$B$61:$B$484,"2024-2025",$F$61:$F$484,"Staff Awards*",$I$61:$I$484,"*Creative*",$H$61:$H$484,"Internal*")</f>
        <v>0</v>
      </c>
      <c r="L49" s="16">
        <f>SUMIFS($K$61:$K$484,$B$61:$B$484,"2024-2025",$F$61:$F$484,"Staff Awards*",$I$61:$I$484,"*Print*",$H$61:$H$484,"Internal*")</f>
        <v>0</v>
      </c>
      <c r="M49" s="16">
        <f>SUMIFS($K$61:$K$484,$B$61:$B$484,"2025-2026",$F$61:$F$484,"Staff Awards*",$I$61:$I$484,"*Creative*",$H$61:$H$484,"Internal*")</f>
        <v>0</v>
      </c>
      <c r="N49" s="16">
        <f>SUMIFS($K$61:$K$484,$B$61:$B$484,"2025-2026",$F$61:$F$484,"Staff Awards*",$I$61:$I$484,"*Print*",$H$61:$H$484,"Internal*")</f>
        <v>0</v>
      </c>
    </row>
    <row r="50" spans="1:15" s="4" customFormat="1" ht="12.75" x14ac:dyDescent="0.2">
      <c r="A50" s="36"/>
      <c r="B50" s="37"/>
      <c r="C50" s="6" t="s">
        <v>173</v>
      </c>
      <c r="D50" s="33">
        <f t="shared" si="1"/>
        <v>816</v>
      </c>
      <c r="E50" s="21">
        <f>SUMIFS($K$61:$K$484,$B$61:$B$484,"2021-2022",$F$61:$F$484,"Staff Awards*",$I$61:$I$484,"*Creative*",$H$61:$H$484,"Salisbury Printing*")</f>
        <v>0</v>
      </c>
      <c r="F50" s="21">
        <f>SUMIFS($K$61:$K$484,$B$61:$B$484,"2021-2022",$F$61:$F$484,"Staff Awards*",$I$61:$I$484,"*Print*",$H$61:$H$484,"Salisbury Printing*")</f>
        <v>0</v>
      </c>
      <c r="G50" s="21">
        <f>SUMIFS($K$61:$K$484,$B$61:$B$484,"2022-2023",$F$61:$F$484,"Staff Awards*",$I$61:$I$484,"*Creative*",$H$61:$H$484,"Salisbury Printing*")</f>
        <v>0</v>
      </c>
      <c r="H50" s="21">
        <f>SUMIFS($K$61:$K$484,$B$61:$B$484,"2022-2023",$F$61:$F$484,"Staff Awards*",$I$61:$I$484,"*Print*",$H$61:$H$484,"Salisbury Printing*")</f>
        <v>0</v>
      </c>
      <c r="I50" s="21">
        <f>SUMIFS($K$61:$K$484,$B$61:$B$484,"2023-2024",$F$61:$F$484,"Staff Awards*",$I$61:$I$484,"*Creative*",$H$61:$H$484,"Salisbury Printing*")</f>
        <v>0</v>
      </c>
      <c r="J50" s="21">
        <f>SUMIFS($K$61:$K$484,$B$61:$B$484,"2023-2024",$F$61:$F$484,"Staff Awards*",$I$61:$I$484,"*Print*",$H$61:$H$484,"Salisbury Printing*")</f>
        <v>816</v>
      </c>
      <c r="K50" s="21">
        <f>SUMIFS($K$61:$K$484,$B$61:$B$484,"2024-2025",$F$61:$F$484,"Staff Awards*",$I$61:$I$484,"*Creative*",$H$61:$H$484,"Salisbury Printing*")</f>
        <v>0</v>
      </c>
      <c r="L50" s="16">
        <f>SUMIFS($K$61:$K$484,$B$61:$B$484,"2024-2025",$F$61:$F$484,"Staff Awards*",$I$61:$I$484,"*Print*",$H$61:$H$484,"Salisbury Printing*")</f>
        <v>0</v>
      </c>
      <c r="M50" s="16">
        <f>SUMIFS($K$61:$K$484,$B$61:$B$484,"2025-2026",$F$61:$F$484,"Staff Awards*",$I$61:$I$484,"*Creative*",$H$61:$H$484,"Salisbury Printing*")</f>
        <v>0</v>
      </c>
      <c r="N50" s="16">
        <f>SUMIFS($K$61:$K$484,$B$61:$B$484,"2025-2026",$F$61:$F$484,"Staff Awards*",$I$61:$I$484,"*Print*",$H$61:$H$484,"Salisbury Printing*")</f>
        <v>0</v>
      </c>
    </row>
    <row r="51" spans="1:15" s="4" customFormat="1" ht="12.75" x14ac:dyDescent="0.2">
      <c r="A51" s="36"/>
      <c r="B51" s="37"/>
      <c r="C51" s="6" t="s">
        <v>30</v>
      </c>
      <c r="D51" s="33">
        <f t="shared" si="1"/>
        <v>1972.75</v>
      </c>
      <c r="E51" s="21">
        <f>SUMIFS($K$61:$K$484,$B$61:$B$484,"2021-2022",$F$61:$F$484,"Staff Awards*",$I$61:$I$484,"*Creative*",$H$61:$H$484,"Signs Express*")</f>
        <v>0</v>
      </c>
      <c r="F51" s="21">
        <f>SUMIFS($K$61:$K$484,$B$61:$B$484,"2021-2022",$F$61:$F$484,"Staff Awards*",$I$61:$I$484,"*Print*",$H$61:$H$484,"Signs Express*")</f>
        <v>596.86</v>
      </c>
      <c r="G51" s="21">
        <f>SUMIFS($K$61:$K$484,$B$61:$B$484,"2022-2023",$F$61:$F$484,"Staff Awards*",$I$61:$I$484,"*Creative*",$H$61:$H$484,"Signs Express*")</f>
        <v>0</v>
      </c>
      <c r="H51" s="21">
        <f>SUMIFS($K$61:$K$484,$B$61:$B$484,"2022-2023",$F$61:$F$484,"Staff Awards*",$I$61:$I$484,"*Print*",$H$61:$H$484,"Signs Express*")</f>
        <v>1375.89</v>
      </c>
      <c r="I51" s="21">
        <f>SUMIFS($K$61:$K$484,$B$61:$B$484,"2023-2024",$F$61:$F$484,"Staff Awards*",$I$61:$I$484,"*Creative*",$H$61:$H$484,"Signs Express*")</f>
        <v>0</v>
      </c>
      <c r="J51" s="21">
        <f>SUMIFS($K$61:$K$484,$B$61:$B$484,"2023-2024",$F$61:$F$484,"Staff Awards*",$I$61:$I$484,"*Print*",$H$61:$H$484,"Signs Express*")</f>
        <v>0</v>
      </c>
      <c r="K51" s="21">
        <f>SUMIFS($K$61:$K$484,$B$61:$B$484,"2024-2025",$F$61:$F$484,"Staff Awards*",$I$61:$I$484,"*Creative*",$H$61:$H$484,"Signs Express*")</f>
        <v>0</v>
      </c>
      <c r="L51" s="16">
        <f>SUMIFS($K$61:$K$484,$B$61:$B$484,"2024-2025",$F$61:$F$484,"Staff Awards*",$I$61:$I$484,"*Print*",$H$61:$H$484,"Signs Express*")</f>
        <v>0</v>
      </c>
      <c r="M51" s="16">
        <f>SUMIFS($K$61:$K$484,$B$61:$B$484,"2025-2026",$F$61:$F$484,"Staff Awards*",$I$61:$I$484,"*Creative*",$H$61:$H$484,"Signs Express*")</f>
        <v>0</v>
      </c>
      <c r="N51" s="16">
        <f>SUMIFS($K$61:$K$484,$B$61:$B$484,"2025-2026",$F$61:$F$484,"Staff Awards*",$I$61:$I$484,"*Print*",$H$61:$H$484,"Signs Express*")</f>
        <v>0</v>
      </c>
    </row>
    <row r="52" spans="1:15" s="4" customFormat="1" ht="38.25" x14ac:dyDescent="0.2">
      <c r="A52" s="36"/>
      <c r="B52" s="37"/>
      <c r="C52" s="6" t="s">
        <v>289</v>
      </c>
      <c r="D52" s="33">
        <f t="shared" si="1"/>
        <v>19914</v>
      </c>
      <c r="E52" s="21">
        <f>SUMIFS($K$61:$K$484,$B$61:$B$484,"2021-2022",$F$61:$F$484,"Staff Awards*",$I$61:$I$484,"*Creative*",$H$61:$H$484,"Unstuck*")</f>
        <v>3050</v>
      </c>
      <c r="F52" s="21">
        <f>SUMIFS($K$61:$K$484,$B$61:$B$484,"2021-2022",$F$61:$F$484,"Staff Awards*",$I$61:$I$484,"*Print*",$H$61:$H$484,"Unstuck*")</f>
        <v>742</v>
      </c>
      <c r="G52" s="21">
        <f>SUMIFS($K$61:$K$484,$B$61:$B$484,"2022-2023",$F$61:$F$484,"Staff Awards*",$I$61:$I$484,"*Creative*",$H$61:$H$484,"Unstuck*")</f>
        <v>3567.5</v>
      </c>
      <c r="H52" s="21">
        <f>SUMIFS($K$61:$K$484,$B$61:$B$484,"2022-2023",$F$61:$F$484,"Staff Awards*",$I$61:$I$484,"*Print*",$H$61:$H$484,"Unstuck*")</f>
        <v>207.5</v>
      </c>
      <c r="I52" s="21">
        <f>SUMIFS($K$61:$K$484,$B$61:$B$484,"2023-2024",$F$61:$F$484,"Staff Awards*",$I$61:$I$484,"*Creative*",$H$61:$H$484,"Unstuck*")</f>
        <v>2825</v>
      </c>
      <c r="J52" s="21">
        <f>SUMIFS($K$61:$K$484,$B$61:$B$484,"2023-2024",$F$61:$F$484,"Staff Awards*",$I$61:$I$484,"*Print*",$H$61:$H$484,"Unstuck*")</f>
        <v>1575</v>
      </c>
      <c r="K52" s="21">
        <f>SUMIFS($K$61:$K$484,$B$61:$B$484,"2024-2025",$F$61:$F$484,"Staff Awards*",$I$61:$I$484,"*Creative*",$H$61:$H$484,"Unstuck*")</f>
        <v>3555</v>
      </c>
      <c r="L52" s="16">
        <f>SUMIFS($K$61:$K$484,$B$61:$B$484,"2024-2025",$F$61:$F$484,"Staff Awards*",$I$61:$I$484,"*Print*",$H$61:$H$484,"Unstuck*")</f>
        <v>1755</v>
      </c>
      <c r="M52" s="16">
        <f>SUMIFS($K$61:$K$484,$B$61:$B$484,"2025-2026",$F$61:$F$484,"Staff Awards*",$I$61:$I$484,"*Creative*",$H$61:$H$484,"Unstuck*")</f>
        <v>1710</v>
      </c>
      <c r="N52" s="16">
        <f>SUMIFS($K$61:$K$484,$B$61:$B$484,"2025-2026",$F$61:$F$484,"Staff Awards*",$I$61:$I$484,"*Print*",$H$61:$H$484,"Unstuck*")</f>
        <v>927</v>
      </c>
    </row>
    <row r="53" spans="1:15" s="4" customFormat="1" ht="12.75" x14ac:dyDescent="0.2">
      <c r="A53" s="30"/>
      <c r="B53" s="30"/>
      <c r="C53" s="10"/>
      <c r="D53" s="30"/>
      <c r="E53" s="30"/>
      <c r="F53" s="30"/>
      <c r="G53" s="30"/>
      <c r="H53" s="30"/>
      <c r="I53" s="30"/>
      <c r="J53" s="30"/>
      <c r="K53" s="30"/>
      <c r="L53" s="31"/>
      <c r="M53" s="31"/>
      <c r="N53" s="31"/>
    </row>
    <row r="54" spans="1:15" s="4" customFormat="1" ht="51" x14ac:dyDescent="0.2">
      <c r="A54" s="9" t="s">
        <v>292</v>
      </c>
      <c r="B54" s="27">
        <f>SUM(E54:N54)</f>
        <v>7700</v>
      </c>
      <c r="C54" s="6" t="s">
        <v>289</v>
      </c>
      <c r="D54" s="33">
        <f>SUM(E54:N54)</f>
        <v>7700</v>
      </c>
      <c r="E54" s="21">
        <f>SUMIFS($K$61:$K$484,$B$61:$B$484,"2021-2022",$F$61:$F$484,"Strategy and*",$I$61:$I$484,"*Creative*",$H$61:$H$484,"Unstuck**")</f>
        <v>7700</v>
      </c>
      <c r="F54" s="21">
        <f>SUMIFS($K$61:$K$484,$B$61:$B$484,"2021-2022",$F$61:$F$484,"Strategy and*",$I$61:$I$484,"*Print*",$H$61:$H$484,"Unstuck**")</f>
        <v>0</v>
      </c>
      <c r="G54" s="21">
        <f>SUMIFS($K$61:$K$484,$B$61:$B$484,"2022-2023",$F$61:$F$484,"Strategy and*",$I$61:$I$484,"*Creative*",$H$61:$H$484,"Unstuck**")</f>
        <v>0</v>
      </c>
      <c r="H54" s="21">
        <f>SUMIFS($K$61:$K$484,$B$61:$B$484,"2022-2023",$F$61:$F$484,"Strategy and*",$I$61:$I$484,"*Print*",$H$61:$H$484,"Unstuck**")</f>
        <v>0</v>
      </c>
      <c r="I54" s="21">
        <f>SUMIFS($K$61:$K$484,$B$61:$B$484,"2023-2024",$F$61:$F$484,"Strategy and*",$I$61:$I$484,"*Creative*",$H$61:$H$484,"Unstuck**")</f>
        <v>0</v>
      </c>
      <c r="J54" s="21">
        <f>SUMIFS($K$61:$K$484,$B$61:$B$484,"2023-2024",$F$61:$F$484,"Strategy and*",$I$61:$I$484,"*Print*",$H$61:$H$484,"Unstuck**")</f>
        <v>0</v>
      </c>
      <c r="K54" s="21">
        <f>SUMIFS($K$61:$K$484,$B$61:$B$484,"2024-2025",$F$61:$F$484,"Strategy and*",$I$61:$I$484,"*Creative*",$H$61:$H$484,"Unstuck**")</f>
        <v>0</v>
      </c>
      <c r="L54" s="16">
        <f>SUMIFS($K$61:$K$484,$B$61:$B$484,"2024-2025",$F$61:$F$484,"Strategy and*",$I$61:$I$484,"*Print*",$H$61:$H$484,"Unstuck**")</f>
        <v>0</v>
      </c>
      <c r="M54" s="16">
        <f>SUMIFS($K$61:$K$484,$B$61:$B$484,"2025-2026",$F$61:$F$484,"Strategy and*",$I$61:$I$484,"*Creative*",$H$61:$H$484,"Unstuck**")</f>
        <v>0</v>
      </c>
      <c r="N54" s="16">
        <f>SUMIFS($K$61:$K$484,$B$61:$B$484,"2025-2026",$F$61:$F$484,"Strategy and*",$I$61:$I$484,"*Print*",$H$61:$H$484,"Unstuck**")</f>
        <v>0</v>
      </c>
    </row>
    <row r="55" spans="1:15" s="4" customFormat="1" ht="12.75" x14ac:dyDescent="0.2">
      <c r="C55" s="10"/>
      <c r="E55" s="30"/>
      <c r="F55" s="30"/>
      <c r="G55" s="30"/>
      <c r="H55" s="30"/>
      <c r="I55" s="30"/>
      <c r="J55" s="30"/>
      <c r="K55" s="30"/>
      <c r="L55" s="31"/>
      <c r="M55" s="31"/>
      <c r="N55" s="31"/>
    </row>
    <row r="56" spans="1:15" s="4" customFormat="1" ht="12.75" x14ac:dyDescent="0.2">
      <c r="A56" s="9" t="s">
        <v>280</v>
      </c>
      <c r="B56" s="27">
        <f>SUM(E56:N56)</f>
        <v>5170</v>
      </c>
      <c r="C56" s="6" t="s">
        <v>66</v>
      </c>
      <c r="D56" s="33">
        <f>SUM(E56:N56)</f>
        <v>5170</v>
      </c>
      <c r="E56" s="21">
        <f>SUMIFS($K$61:$K$484,$B$61:$B$484,"2021-2022",$F$61:$F$484,"Website",$I$61:$I$484,"*Creative*",$H$61:$H$484,"DKB*")</f>
        <v>0</v>
      </c>
      <c r="F56" s="21">
        <f>SUMIFS($K$61:$K$484,$B$61:$B$484,"2021-2022",$F$61:$F$484,"Website",$I$61:$I$484,"*Print*",$H$61:$H$484,"DKB*")</f>
        <v>0</v>
      </c>
      <c r="G56" s="21">
        <f>SUMIFS($K$61:$K$484,$B$61:$B$484,"2022-2023",$F$61:$F$484,"Website",$I$61:$I$484,"*Creative*",$H$61:$H$484,"DKB*")</f>
        <v>2590</v>
      </c>
      <c r="H56" s="21">
        <f>SUMIFS($K$61:$K$484,$B$61:$B$484,"2022-2023",$F$61:$F$484,"Website",$I$61:$I$484,"*Print*",$H$61:$H$484,"DKB*")</f>
        <v>0</v>
      </c>
      <c r="I56" s="21">
        <f>SUMIFS($K$61:$K$484,$B$61:$B$484,"2023-2024",$F$61:$F$484,"Website",$I$61:$I$484,"*Creative*",$H$61:$H$484,"DKB*")</f>
        <v>1135</v>
      </c>
      <c r="J56" s="21">
        <f>SUMIFS($K$61:$K$484,$B$61:$B$484,"2023-2024",$F$61:$F$484,"Website",$I$61:$I$484,"*Print*",$H$61:$H$484,"DKB*")</f>
        <v>0</v>
      </c>
      <c r="K56" s="21">
        <f>SUMIFS($K$61:$K$484,$B$61:$B$484,"2024-2025",$F$61:$F$484,"Website",$I$61:$I$484,"*Creative*",$H$61:$H$484,"DKB*")</f>
        <v>0</v>
      </c>
      <c r="L56" s="16">
        <f>SUMIFS($K$61:$K$484,$B$61:$B$484,"2024-2025",$F$61:$F$484,"Website",$I$61:$I$484,"*Print*",$H$61:$H$484,"DKB*")</f>
        <v>0</v>
      </c>
      <c r="M56" s="16">
        <f>SUMIFS($K$61:$K$484,$B$61:$B$484,"2025-2026",$F$61:$F$484,"Website",$I$61:$I$484,"*Creative*",$H$61:$H$484,"DKB*")</f>
        <v>1445</v>
      </c>
      <c r="N56" s="16">
        <f>SUMIFS($K$61:$K$484,$B$61:$B$484,"2025-2026",$F$61:$F$484,"Website",$I$61:$I$484,"*Print*",$H$61:$H$484,"DKB*")</f>
        <v>0</v>
      </c>
    </row>
    <row r="57" spans="1:15" ht="12.75" x14ac:dyDescent="0.2">
      <c r="C57" s="10"/>
      <c r="E57" s="17"/>
      <c r="F57" s="17"/>
      <c r="G57" s="17"/>
      <c r="H57" s="17"/>
      <c r="I57" s="17"/>
      <c r="J57" s="17"/>
      <c r="K57" s="17"/>
      <c r="L57" s="7"/>
      <c r="M57" s="7"/>
      <c r="N57" s="7"/>
      <c r="O57" s="2"/>
    </row>
    <row r="58" spans="1:15" ht="18" x14ac:dyDescent="0.25">
      <c r="A58" s="28" t="s">
        <v>300</v>
      </c>
      <c r="O58" s="2"/>
    </row>
    <row r="59" spans="1:15" ht="12.75" x14ac:dyDescent="0.2">
      <c r="O59" s="2"/>
    </row>
    <row r="60" spans="1:15" ht="64.5" thickBot="1" x14ac:dyDescent="0.25">
      <c r="A60" s="1" t="s">
        <v>7</v>
      </c>
      <c r="B60" s="1" t="s">
        <v>2</v>
      </c>
      <c r="C60" s="1" t="s">
        <v>0</v>
      </c>
      <c r="D60" s="1" t="s">
        <v>46</v>
      </c>
      <c r="E60" s="1" t="s">
        <v>1</v>
      </c>
      <c r="F60" s="1" t="s">
        <v>3</v>
      </c>
      <c r="G60" s="1" t="s">
        <v>4</v>
      </c>
      <c r="H60" s="1" t="s">
        <v>10</v>
      </c>
      <c r="I60" s="1" t="s">
        <v>48</v>
      </c>
      <c r="J60" s="1" t="s">
        <v>5</v>
      </c>
      <c r="K60" s="1" t="s">
        <v>6</v>
      </c>
      <c r="O60" s="2"/>
    </row>
    <row r="61" spans="1:15" s="4" customFormat="1" ht="51" x14ac:dyDescent="0.2">
      <c r="A61" s="12"/>
      <c r="B61" s="12" t="s">
        <v>9</v>
      </c>
      <c r="C61" s="12" t="s">
        <v>12</v>
      </c>
      <c r="D61" s="12">
        <v>351008151</v>
      </c>
      <c r="E61" s="12" t="s">
        <v>13</v>
      </c>
      <c r="F61" s="12" t="s">
        <v>45</v>
      </c>
      <c r="G61" s="14" t="s">
        <v>11</v>
      </c>
      <c r="H61" s="6" t="s">
        <v>289</v>
      </c>
      <c r="I61" s="12" t="s">
        <v>49</v>
      </c>
      <c r="J61" s="6">
        <v>44334</v>
      </c>
      <c r="K61" s="18">
        <f>270/4</f>
        <v>67.5</v>
      </c>
      <c r="N61" s="15"/>
    </row>
    <row r="62" spans="1:15" s="4" customFormat="1" ht="38.25" x14ac:dyDescent="0.2">
      <c r="A62" s="12" t="s">
        <v>8</v>
      </c>
      <c r="B62" s="12" t="s">
        <v>9</v>
      </c>
      <c r="C62" s="12" t="s">
        <v>12</v>
      </c>
      <c r="D62" s="12">
        <v>351005646</v>
      </c>
      <c r="E62" s="12" t="s">
        <v>13</v>
      </c>
      <c r="F62" s="12" t="s">
        <v>45</v>
      </c>
      <c r="G62" s="5" t="s">
        <v>15</v>
      </c>
      <c r="H62" s="12" t="s">
        <v>16</v>
      </c>
      <c r="I62" s="12" t="s">
        <v>49</v>
      </c>
      <c r="J62" s="6">
        <v>44399</v>
      </c>
      <c r="K62" s="18">
        <v>600</v>
      </c>
    </row>
    <row r="63" spans="1:15" s="4" customFormat="1" ht="153" x14ac:dyDescent="0.2">
      <c r="A63" s="12" t="s">
        <v>8</v>
      </c>
      <c r="B63" s="12" t="s">
        <v>9</v>
      </c>
      <c r="C63" s="12" t="s">
        <v>13</v>
      </c>
      <c r="D63" s="12">
        <v>351008592</v>
      </c>
      <c r="E63" s="12" t="s">
        <v>12</v>
      </c>
      <c r="F63" s="12" t="s">
        <v>29</v>
      </c>
      <c r="G63" s="5" t="s">
        <v>17</v>
      </c>
      <c r="H63" s="6" t="s">
        <v>289</v>
      </c>
      <c r="I63" s="12" t="s">
        <v>49</v>
      </c>
      <c r="J63" s="6">
        <v>44467</v>
      </c>
      <c r="K63" s="18">
        <f>780+180+180+60</f>
        <v>1200</v>
      </c>
    </row>
    <row r="64" spans="1:15" s="4" customFormat="1" ht="38.25" x14ac:dyDescent="0.2">
      <c r="A64" s="12" t="s">
        <v>8</v>
      </c>
      <c r="B64" s="12" t="s">
        <v>9</v>
      </c>
      <c r="C64" s="12" t="s">
        <v>13</v>
      </c>
      <c r="D64" s="12">
        <v>351008592</v>
      </c>
      <c r="E64" s="12" t="s">
        <v>12</v>
      </c>
      <c r="F64" s="12" t="s">
        <v>29</v>
      </c>
      <c r="G64" s="5" t="s">
        <v>18</v>
      </c>
      <c r="H64" s="6" t="s">
        <v>289</v>
      </c>
      <c r="I64" s="12" t="s">
        <v>49</v>
      </c>
      <c r="J64" s="6">
        <v>44467</v>
      </c>
      <c r="K64" s="18">
        <v>1020</v>
      </c>
    </row>
    <row r="65" spans="1:11" s="4" customFormat="1" ht="76.5" x14ac:dyDescent="0.2">
      <c r="A65" s="12" t="s">
        <v>8</v>
      </c>
      <c r="B65" s="12" t="s">
        <v>9</v>
      </c>
      <c r="C65" s="12" t="s">
        <v>13</v>
      </c>
      <c r="D65" s="12">
        <v>351007842</v>
      </c>
      <c r="E65" s="12" t="s">
        <v>12</v>
      </c>
      <c r="F65" s="12" t="s">
        <v>29</v>
      </c>
      <c r="G65" s="5" t="s">
        <v>19</v>
      </c>
      <c r="H65" s="6" t="s">
        <v>30</v>
      </c>
      <c r="I65" s="6" t="s">
        <v>50</v>
      </c>
      <c r="J65" s="6">
        <v>44449</v>
      </c>
      <c r="K65" s="18">
        <v>130</v>
      </c>
    </row>
    <row r="66" spans="1:11" s="4" customFormat="1" ht="38.25" x14ac:dyDescent="0.2">
      <c r="A66" s="12" t="s">
        <v>8</v>
      </c>
      <c r="B66" s="12" t="s">
        <v>9</v>
      </c>
      <c r="C66" s="12" t="s">
        <v>13</v>
      </c>
      <c r="D66" s="12">
        <v>351008592</v>
      </c>
      <c r="E66" s="12" t="s">
        <v>12</v>
      </c>
      <c r="F66" s="12" t="s">
        <v>29</v>
      </c>
      <c r="G66" s="5" t="s">
        <v>20</v>
      </c>
      <c r="H66" s="6" t="s">
        <v>289</v>
      </c>
      <c r="I66" s="12" t="s">
        <v>49</v>
      </c>
      <c r="J66" s="6">
        <v>44411</v>
      </c>
      <c r="K66" s="18">
        <v>680</v>
      </c>
    </row>
    <row r="67" spans="1:11" s="4" customFormat="1" ht="216.75" x14ac:dyDescent="0.2">
      <c r="A67" s="12" t="s">
        <v>8</v>
      </c>
      <c r="B67" s="12" t="s">
        <v>9</v>
      </c>
      <c r="C67" s="12" t="s">
        <v>13</v>
      </c>
      <c r="D67" s="12">
        <v>351007800</v>
      </c>
      <c r="E67" s="12" t="s">
        <v>12</v>
      </c>
      <c r="F67" s="12" t="s">
        <v>29</v>
      </c>
      <c r="G67" s="5" t="s">
        <v>21</v>
      </c>
      <c r="H67" s="6" t="s">
        <v>30</v>
      </c>
      <c r="I67" s="6" t="s">
        <v>50</v>
      </c>
      <c r="J67" s="6">
        <v>44411</v>
      </c>
      <c r="K67" s="18">
        <v>330</v>
      </c>
    </row>
    <row r="68" spans="1:11" s="4" customFormat="1" ht="38.25" x14ac:dyDescent="0.2">
      <c r="A68" s="12" t="s">
        <v>8</v>
      </c>
      <c r="B68" s="12" t="s">
        <v>9</v>
      </c>
      <c r="C68" s="12" t="s">
        <v>13</v>
      </c>
      <c r="D68" s="12" t="s">
        <v>51</v>
      </c>
      <c r="E68" s="12" t="s">
        <v>12</v>
      </c>
      <c r="F68" s="12" t="s">
        <v>29</v>
      </c>
      <c r="G68" s="5" t="s">
        <v>22</v>
      </c>
      <c r="H68" s="6" t="s">
        <v>31</v>
      </c>
      <c r="I68" s="12" t="s">
        <v>49</v>
      </c>
      <c r="J68" s="6">
        <v>44433</v>
      </c>
      <c r="K68" s="18">
        <v>0</v>
      </c>
    </row>
    <row r="69" spans="1:11" s="4" customFormat="1" ht="63.75" x14ac:dyDescent="0.2">
      <c r="A69" s="12" t="s">
        <v>8</v>
      </c>
      <c r="B69" s="12" t="s">
        <v>9</v>
      </c>
      <c r="C69" s="12" t="s">
        <v>13</v>
      </c>
      <c r="D69" s="12">
        <v>351008592</v>
      </c>
      <c r="E69" s="12" t="s">
        <v>12</v>
      </c>
      <c r="F69" s="12" t="s">
        <v>29</v>
      </c>
      <c r="G69" s="5" t="s">
        <v>23</v>
      </c>
      <c r="H69" s="6" t="s">
        <v>289</v>
      </c>
      <c r="I69" s="12" t="s">
        <v>49</v>
      </c>
      <c r="J69" s="6">
        <v>44467</v>
      </c>
      <c r="K69" s="18">
        <v>60</v>
      </c>
    </row>
    <row r="70" spans="1:11" s="4" customFormat="1" ht="76.5" x14ac:dyDescent="0.2">
      <c r="A70" s="12" t="s">
        <v>8</v>
      </c>
      <c r="B70" s="12" t="s">
        <v>9</v>
      </c>
      <c r="C70" s="12" t="s">
        <v>13</v>
      </c>
      <c r="D70" s="12" t="s">
        <v>51</v>
      </c>
      <c r="E70" s="12" t="s">
        <v>12</v>
      </c>
      <c r="F70" s="12" t="s">
        <v>29</v>
      </c>
      <c r="G70" s="5" t="s">
        <v>24</v>
      </c>
      <c r="H70" s="6" t="s">
        <v>32</v>
      </c>
      <c r="I70" s="6" t="s">
        <v>50</v>
      </c>
      <c r="J70" s="6">
        <v>44446</v>
      </c>
      <c r="K70" s="18">
        <v>161</v>
      </c>
    </row>
    <row r="71" spans="1:11" s="4" customFormat="1" ht="89.25" x14ac:dyDescent="0.2">
      <c r="A71" s="12" t="s">
        <v>8</v>
      </c>
      <c r="B71" s="12" t="s">
        <v>9</v>
      </c>
      <c r="C71" s="12" t="s">
        <v>13</v>
      </c>
      <c r="D71" s="12">
        <v>351008592</v>
      </c>
      <c r="E71" s="12" t="s">
        <v>12</v>
      </c>
      <c r="F71" s="12" t="s">
        <v>29</v>
      </c>
      <c r="G71" s="5" t="s">
        <v>25</v>
      </c>
      <c r="H71" s="6" t="s">
        <v>289</v>
      </c>
      <c r="I71" s="12" t="s">
        <v>49</v>
      </c>
      <c r="J71" s="6">
        <v>44449</v>
      </c>
      <c r="K71" s="18">
        <v>90</v>
      </c>
    </row>
    <row r="72" spans="1:11" s="4" customFormat="1" ht="280.5" x14ac:dyDescent="0.2">
      <c r="A72" s="12" t="s">
        <v>8</v>
      </c>
      <c r="B72" s="12" t="s">
        <v>9</v>
      </c>
      <c r="C72" s="12" t="s">
        <v>13</v>
      </c>
      <c r="D72" s="12">
        <v>351006998</v>
      </c>
      <c r="E72" s="12" t="s">
        <v>12</v>
      </c>
      <c r="F72" s="12" t="s">
        <v>29</v>
      </c>
      <c r="G72" s="5" t="s">
        <v>26</v>
      </c>
      <c r="H72" s="6" t="s">
        <v>30</v>
      </c>
      <c r="I72" s="6" t="s">
        <v>50</v>
      </c>
      <c r="J72" s="6">
        <v>44452</v>
      </c>
      <c r="K72" s="18">
        <v>136.86000000000001</v>
      </c>
    </row>
    <row r="73" spans="1:11" s="4" customFormat="1" ht="51" x14ac:dyDescent="0.2">
      <c r="A73" s="12" t="s">
        <v>8</v>
      </c>
      <c r="B73" s="12" t="s">
        <v>9</v>
      </c>
      <c r="C73" s="12" t="s">
        <v>13</v>
      </c>
      <c r="D73" s="12" t="s">
        <v>51</v>
      </c>
      <c r="E73" s="12" t="s">
        <v>12</v>
      </c>
      <c r="F73" s="12" t="s">
        <v>29</v>
      </c>
      <c r="G73" s="5" t="s">
        <v>27</v>
      </c>
      <c r="H73" s="6" t="s">
        <v>31</v>
      </c>
      <c r="I73" s="6" t="s">
        <v>50</v>
      </c>
      <c r="J73" s="6">
        <v>44452</v>
      </c>
      <c r="K73" s="18">
        <v>0</v>
      </c>
    </row>
    <row r="74" spans="1:11" s="4" customFormat="1" ht="51" x14ac:dyDescent="0.2">
      <c r="A74" s="12" t="s">
        <v>8</v>
      </c>
      <c r="B74" s="12" t="s">
        <v>9</v>
      </c>
      <c r="C74" s="12" t="s">
        <v>13</v>
      </c>
      <c r="D74" s="12" t="s">
        <v>51</v>
      </c>
      <c r="E74" s="12" t="s">
        <v>12</v>
      </c>
      <c r="F74" s="12" t="s">
        <v>29</v>
      </c>
      <c r="G74" s="5" t="s">
        <v>27</v>
      </c>
      <c r="H74" s="6" t="s">
        <v>31</v>
      </c>
      <c r="I74" s="6" t="s">
        <v>50</v>
      </c>
      <c r="J74" s="6">
        <v>44452</v>
      </c>
      <c r="K74" s="18">
        <v>0</v>
      </c>
    </row>
    <row r="75" spans="1:11" s="4" customFormat="1" ht="63.75" x14ac:dyDescent="0.2">
      <c r="A75" s="12" t="s">
        <v>8</v>
      </c>
      <c r="B75" s="12" t="s">
        <v>9</v>
      </c>
      <c r="C75" s="12" t="s">
        <v>13</v>
      </c>
      <c r="D75" s="12">
        <v>351008578</v>
      </c>
      <c r="E75" s="12" t="s">
        <v>12</v>
      </c>
      <c r="F75" s="12" t="s">
        <v>29</v>
      </c>
      <c r="G75" s="5" t="s">
        <v>28</v>
      </c>
      <c r="H75" s="6" t="s">
        <v>289</v>
      </c>
      <c r="I75" s="6" t="s">
        <v>50</v>
      </c>
      <c r="J75" s="6">
        <v>44469</v>
      </c>
      <c r="K75" s="18">
        <v>420</v>
      </c>
    </row>
    <row r="76" spans="1:11" s="4" customFormat="1" ht="63.75" x14ac:dyDescent="0.2">
      <c r="A76" s="12" t="s">
        <v>8</v>
      </c>
      <c r="B76" s="12" t="s">
        <v>9</v>
      </c>
      <c r="C76" s="12" t="s">
        <v>13</v>
      </c>
      <c r="D76" s="12">
        <v>351015827</v>
      </c>
      <c r="E76" s="12" t="s">
        <v>12</v>
      </c>
      <c r="F76" s="12" t="s">
        <v>29</v>
      </c>
      <c r="G76" s="5" t="s">
        <v>28</v>
      </c>
      <c r="H76" s="6" t="s">
        <v>289</v>
      </c>
      <c r="I76" s="6" t="s">
        <v>50</v>
      </c>
      <c r="J76" s="6">
        <v>44547</v>
      </c>
      <c r="K76" s="18">
        <v>322</v>
      </c>
    </row>
    <row r="77" spans="1:11" s="4" customFormat="1" ht="63.75" x14ac:dyDescent="0.2">
      <c r="A77" s="12" t="s">
        <v>8</v>
      </c>
      <c r="B77" s="12" t="s">
        <v>9</v>
      </c>
      <c r="C77" s="12" t="s">
        <v>12</v>
      </c>
      <c r="D77" s="12" t="s">
        <v>291</v>
      </c>
      <c r="E77" s="12" t="s">
        <v>13</v>
      </c>
      <c r="F77" s="5" t="s">
        <v>34</v>
      </c>
      <c r="G77" s="5" t="s">
        <v>35</v>
      </c>
      <c r="H77" s="6" t="s">
        <v>289</v>
      </c>
      <c r="I77" s="6" t="s">
        <v>49</v>
      </c>
      <c r="J77" s="6">
        <v>44648</v>
      </c>
      <c r="K77" s="18">
        <v>2080</v>
      </c>
    </row>
    <row r="78" spans="1:11" s="4" customFormat="1" ht="38.25" x14ac:dyDescent="0.2">
      <c r="A78" s="12" t="s">
        <v>8</v>
      </c>
      <c r="B78" s="12" t="s">
        <v>9</v>
      </c>
      <c r="C78" s="12" t="s">
        <v>12</v>
      </c>
      <c r="D78" s="12" t="s">
        <v>291</v>
      </c>
      <c r="E78" s="12" t="s">
        <v>13</v>
      </c>
      <c r="F78" s="5" t="s">
        <v>34</v>
      </c>
      <c r="G78" s="5" t="s">
        <v>36</v>
      </c>
      <c r="H78" s="6" t="s">
        <v>289</v>
      </c>
      <c r="I78" s="6" t="s">
        <v>49</v>
      </c>
      <c r="J78" s="6">
        <v>44648</v>
      </c>
      <c r="K78" s="18">
        <v>650</v>
      </c>
    </row>
    <row r="79" spans="1:11" s="4" customFormat="1" ht="38.25" x14ac:dyDescent="0.2">
      <c r="A79" s="12" t="s">
        <v>8</v>
      </c>
      <c r="B79" s="12" t="s">
        <v>9</v>
      </c>
      <c r="C79" s="12" t="s">
        <v>12</v>
      </c>
      <c r="D79" s="12" t="s">
        <v>291</v>
      </c>
      <c r="E79" s="12" t="s">
        <v>13</v>
      </c>
      <c r="F79" s="5" t="s">
        <v>34</v>
      </c>
      <c r="G79" s="5" t="s">
        <v>37</v>
      </c>
      <c r="H79" s="6" t="s">
        <v>289</v>
      </c>
      <c r="I79" s="6" t="s">
        <v>49</v>
      </c>
      <c r="J79" s="6">
        <v>44648</v>
      </c>
      <c r="K79" s="18">
        <v>260</v>
      </c>
    </row>
    <row r="80" spans="1:11" s="4" customFormat="1" ht="51" x14ac:dyDescent="0.2">
      <c r="A80" s="12" t="s">
        <v>8</v>
      </c>
      <c r="B80" s="12" t="s">
        <v>9</v>
      </c>
      <c r="C80" s="12" t="s">
        <v>12</v>
      </c>
      <c r="D80" s="12" t="s">
        <v>291</v>
      </c>
      <c r="E80" s="12" t="s">
        <v>13</v>
      </c>
      <c r="F80" s="5" t="s">
        <v>34</v>
      </c>
      <c r="G80" s="5" t="s">
        <v>38</v>
      </c>
      <c r="H80" s="6" t="s">
        <v>289</v>
      </c>
      <c r="I80" s="6" t="s">
        <v>49</v>
      </c>
      <c r="J80" s="6">
        <v>44648</v>
      </c>
      <c r="K80" s="18">
        <v>450</v>
      </c>
    </row>
    <row r="81" spans="1:11" s="4" customFormat="1" ht="38.25" x14ac:dyDescent="0.2">
      <c r="A81" s="12" t="s">
        <v>8</v>
      </c>
      <c r="B81" s="12" t="s">
        <v>9</v>
      </c>
      <c r="C81" s="12" t="s">
        <v>12</v>
      </c>
      <c r="D81" s="12" t="s">
        <v>291</v>
      </c>
      <c r="E81" s="12" t="s">
        <v>13</v>
      </c>
      <c r="F81" s="5" t="s">
        <v>34</v>
      </c>
      <c r="G81" s="5" t="s">
        <v>39</v>
      </c>
      <c r="H81" s="6" t="s">
        <v>289</v>
      </c>
      <c r="I81" s="6" t="s">
        <v>49</v>
      </c>
      <c r="J81" s="6">
        <v>44648</v>
      </c>
      <c r="K81" s="18">
        <v>1500</v>
      </c>
    </row>
    <row r="82" spans="1:11" s="4" customFormat="1" ht="38.25" x14ac:dyDescent="0.2">
      <c r="A82" s="12" t="s">
        <v>8</v>
      </c>
      <c r="B82" s="12" t="s">
        <v>9</v>
      </c>
      <c r="C82" s="12" t="s">
        <v>12</v>
      </c>
      <c r="D82" s="12" t="s">
        <v>291</v>
      </c>
      <c r="E82" s="12" t="s">
        <v>13</v>
      </c>
      <c r="F82" s="5" t="s">
        <v>34</v>
      </c>
      <c r="G82" s="5" t="s">
        <v>40</v>
      </c>
      <c r="H82" s="6" t="s">
        <v>289</v>
      </c>
      <c r="I82" s="6" t="s">
        <v>49</v>
      </c>
      <c r="J82" s="6">
        <v>44648</v>
      </c>
      <c r="K82" s="18">
        <v>325</v>
      </c>
    </row>
    <row r="83" spans="1:11" s="4" customFormat="1" ht="38.25" x14ac:dyDescent="0.2">
      <c r="A83" s="12" t="s">
        <v>8</v>
      </c>
      <c r="B83" s="12" t="s">
        <v>9</v>
      </c>
      <c r="C83" s="12" t="s">
        <v>12</v>
      </c>
      <c r="D83" s="12" t="s">
        <v>291</v>
      </c>
      <c r="E83" s="12" t="s">
        <v>13</v>
      </c>
      <c r="F83" s="5" t="s">
        <v>34</v>
      </c>
      <c r="G83" s="5" t="s">
        <v>41</v>
      </c>
      <c r="H83" s="6" t="s">
        <v>289</v>
      </c>
      <c r="I83" s="6" t="s">
        <v>49</v>
      </c>
      <c r="J83" s="6">
        <v>44648</v>
      </c>
      <c r="K83" s="18">
        <v>325</v>
      </c>
    </row>
    <row r="84" spans="1:11" s="4" customFormat="1" ht="38.25" x14ac:dyDescent="0.2">
      <c r="A84" s="12" t="s">
        <v>8</v>
      </c>
      <c r="B84" s="12" t="s">
        <v>9</v>
      </c>
      <c r="C84" s="12" t="s">
        <v>12</v>
      </c>
      <c r="D84" s="12" t="s">
        <v>291</v>
      </c>
      <c r="E84" s="12" t="s">
        <v>13</v>
      </c>
      <c r="F84" s="5" t="s">
        <v>34</v>
      </c>
      <c r="G84" s="5" t="s">
        <v>42</v>
      </c>
      <c r="H84" s="6" t="s">
        <v>289</v>
      </c>
      <c r="I84" s="6" t="s">
        <v>49</v>
      </c>
      <c r="J84" s="6">
        <v>44648</v>
      </c>
      <c r="K84" s="18">
        <v>260</v>
      </c>
    </row>
    <row r="85" spans="1:11" s="4" customFormat="1" ht="76.5" x14ac:dyDescent="0.2">
      <c r="A85" s="12" t="s">
        <v>8</v>
      </c>
      <c r="B85" s="12" t="s">
        <v>9</v>
      </c>
      <c r="C85" s="12" t="s">
        <v>12</v>
      </c>
      <c r="D85" s="12" t="s">
        <v>291</v>
      </c>
      <c r="E85" s="12" t="s">
        <v>13</v>
      </c>
      <c r="F85" s="5" t="s">
        <v>34</v>
      </c>
      <c r="G85" s="5" t="s">
        <v>43</v>
      </c>
      <c r="H85" s="6" t="s">
        <v>289</v>
      </c>
      <c r="I85" s="6" t="s">
        <v>49</v>
      </c>
      <c r="J85" s="6">
        <v>44648</v>
      </c>
      <c r="K85" s="18">
        <v>290</v>
      </c>
    </row>
    <row r="86" spans="1:11" s="4" customFormat="1" ht="51" x14ac:dyDescent="0.2">
      <c r="A86" s="12" t="s">
        <v>8</v>
      </c>
      <c r="B86" s="12" t="s">
        <v>9</v>
      </c>
      <c r="C86" s="12" t="s">
        <v>12</v>
      </c>
      <c r="D86" s="12" t="s">
        <v>291</v>
      </c>
      <c r="E86" s="12" t="s">
        <v>13</v>
      </c>
      <c r="F86" s="5" t="s">
        <v>34</v>
      </c>
      <c r="G86" s="5" t="s">
        <v>44</v>
      </c>
      <c r="H86" s="6" t="s">
        <v>289</v>
      </c>
      <c r="I86" s="6" t="s">
        <v>49</v>
      </c>
      <c r="J86" s="6">
        <v>44648</v>
      </c>
      <c r="K86" s="18">
        <v>1560</v>
      </c>
    </row>
    <row r="87" spans="1:11" s="4" customFormat="1" ht="89.25" x14ac:dyDescent="0.2">
      <c r="A87" s="12" t="s">
        <v>8</v>
      </c>
      <c r="B87" s="12" t="s">
        <v>9</v>
      </c>
      <c r="C87" s="12" t="s">
        <v>12</v>
      </c>
      <c r="D87" s="12">
        <v>351027172</v>
      </c>
      <c r="E87" s="12" t="s">
        <v>13</v>
      </c>
      <c r="F87" s="12" t="s">
        <v>45</v>
      </c>
      <c r="G87" s="12" t="s">
        <v>53</v>
      </c>
      <c r="H87" s="6" t="s">
        <v>289</v>
      </c>
      <c r="I87" s="12" t="s">
        <v>49</v>
      </c>
      <c r="J87" s="6">
        <v>44650</v>
      </c>
      <c r="K87" s="18">
        <v>8640</v>
      </c>
    </row>
    <row r="88" spans="1:11" s="4" customFormat="1" ht="63.75" x14ac:dyDescent="0.2">
      <c r="A88" s="12" t="s">
        <v>8</v>
      </c>
      <c r="B88" s="12" t="s">
        <v>55</v>
      </c>
      <c r="C88" s="12" t="s">
        <v>13</v>
      </c>
      <c r="D88" s="12" t="s">
        <v>47</v>
      </c>
      <c r="E88" s="12" t="s">
        <v>12</v>
      </c>
      <c r="F88" s="12" t="s">
        <v>29</v>
      </c>
      <c r="G88" s="5" t="s">
        <v>28</v>
      </c>
      <c r="H88" s="6" t="s">
        <v>289</v>
      </c>
      <c r="I88" s="6" t="s">
        <v>50</v>
      </c>
      <c r="J88" s="6">
        <v>44785</v>
      </c>
      <c r="K88" s="18">
        <v>207.5</v>
      </c>
    </row>
    <row r="89" spans="1:11" s="4" customFormat="1" ht="38.25" x14ac:dyDescent="0.2">
      <c r="A89" s="12" t="s">
        <v>8</v>
      </c>
      <c r="B89" s="12" t="s">
        <v>55</v>
      </c>
      <c r="C89" s="12" t="s">
        <v>13</v>
      </c>
      <c r="D89" s="12">
        <v>351049040</v>
      </c>
      <c r="E89" s="12" t="s">
        <v>12</v>
      </c>
      <c r="F89" s="12" t="s">
        <v>45</v>
      </c>
      <c r="G89" s="5" t="s">
        <v>71</v>
      </c>
      <c r="H89" s="6" t="s">
        <v>289</v>
      </c>
      <c r="I89" s="6" t="s">
        <v>49</v>
      </c>
      <c r="J89" s="6">
        <v>44608</v>
      </c>
      <c r="K89" s="18">
        <v>90</v>
      </c>
    </row>
    <row r="90" spans="1:11" s="4" customFormat="1" ht="127.5" x14ac:dyDescent="0.2">
      <c r="A90" s="12" t="s">
        <v>8</v>
      </c>
      <c r="B90" s="12" t="s">
        <v>55</v>
      </c>
      <c r="C90" s="12" t="s">
        <v>12</v>
      </c>
      <c r="D90" s="12">
        <v>351048937</v>
      </c>
      <c r="E90" s="12" t="s">
        <v>13</v>
      </c>
      <c r="F90" s="12" t="s">
        <v>45</v>
      </c>
      <c r="G90" s="5" t="s">
        <v>54</v>
      </c>
      <c r="H90" s="6" t="s">
        <v>289</v>
      </c>
      <c r="I90" s="12" t="s">
        <v>49</v>
      </c>
      <c r="J90" s="6">
        <v>44655</v>
      </c>
      <c r="K90" s="18">
        <v>450</v>
      </c>
    </row>
    <row r="91" spans="1:11" s="4" customFormat="1" ht="63.75" x14ac:dyDescent="0.2">
      <c r="A91" s="12" t="s">
        <v>8</v>
      </c>
      <c r="B91" s="12" t="s">
        <v>55</v>
      </c>
      <c r="C91" s="12" t="s">
        <v>12</v>
      </c>
      <c r="D91" s="12">
        <v>351048805</v>
      </c>
      <c r="E91" s="12" t="s">
        <v>13</v>
      </c>
      <c r="F91" s="12" t="s">
        <v>45</v>
      </c>
      <c r="G91" s="5" t="s">
        <v>56</v>
      </c>
      <c r="H91" s="6" t="s">
        <v>289</v>
      </c>
      <c r="I91" s="12" t="s">
        <v>49</v>
      </c>
      <c r="J91" s="6">
        <v>44671</v>
      </c>
      <c r="K91" s="18">
        <v>780</v>
      </c>
    </row>
    <row r="92" spans="1:11" s="4" customFormat="1" ht="38.25" x14ac:dyDescent="0.2">
      <c r="A92" s="12" t="s">
        <v>8</v>
      </c>
      <c r="B92" s="12" t="s">
        <v>55</v>
      </c>
      <c r="C92" s="12" t="s">
        <v>13</v>
      </c>
      <c r="D92" s="12">
        <v>351048851</v>
      </c>
      <c r="E92" s="12" t="s">
        <v>12</v>
      </c>
      <c r="F92" s="5" t="s">
        <v>33</v>
      </c>
      <c r="G92" s="5" t="s">
        <v>57</v>
      </c>
      <c r="H92" s="6" t="s">
        <v>289</v>
      </c>
      <c r="I92" s="12" t="s">
        <v>49</v>
      </c>
      <c r="J92" s="6">
        <v>44686</v>
      </c>
      <c r="K92" s="18">
        <v>780</v>
      </c>
    </row>
    <row r="93" spans="1:11" s="4" customFormat="1" ht="51" x14ac:dyDescent="0.2">
      <c r="A93" s="12" t="s">
        <v>8</v>
      </c>
      <c r="B93" s="12" t="s">
        <v>55</v>
      </c>
      <c r="C93" s="12" t="s">
        <v>13</v>
      </c>
      <c r="D93" s="12">
        <v>351048851</v>
      </c>
      <c r="E93" s="12" t="s">
        <v>12</v>
      </c>
      <c r="F93" s="5" t="s">
        <v>33</v>
      </c>
      <c r="G93" s="5" t="s">
        <v>58</v>
      </c>
      <c r="H93" s="6" t="s">
        <v>289</v>
      </c>
      <c r="I93" s="12" t="s">
        <v>49</v>
      </c>
      <c r="J93" s="6">
        <v>44686</v>
      </c>
      <c r="K93" s="18">
        <v>1170</v>
      </c>
    </row>
    <row r="94" spans="1:11" s="4" customFormat="1" ht="51" x14ac:dyDescent="0.2">
      <c r="A94" s="12" t="s">
        <v>8</v>
      </c>
      <c r="B94" s="12" t="s">
        <v>55</v>
      </c>
      <c r="C94" s="12" t="s">
        <v>13</v>
      </c>
      <c r="D94" s="12">
        <v>351048851</v>
      </c>
      <c r="E94" s="12" t="s">
        <v>12</v>
      </c>
      <c r="F94" s="5" t="s">
        <v>33</v>
      </c>
      <c r="G94" s="5" t="s">
        <v>59</v>
      </c>
      <c r="H94" s="6" t="s">
        <v>289</v>
      </c>
      <c r="I94" s="12" t="s">
        <v>49</v>
      </c>
      <c r="J94" s="6">
        <v>44686</v>
      </c>
      <c r="K94" s="18">
        <v>325</v>
      </c>
    </row>
    <row r="95" spans="1:11" s="4" customFormat="1" ht="38.25" x14ac:dyDescent="0.2">
      <c r="A95" s="12" t="s">
        <v>8</v>
      </c>
      <c r="B95" s="12" t="s">
        <v>55</v>
      </c>
      <c r="C95" s="12" t="s">
        <v>13</v>
      </c>
      <c r="D95" s="12">
        <v>351029069</v>
      </c>
      <c r="E95" s="12" t="s">
        <v>12</v>
      </c>
      <c r="F95" s="5" t="s">
        <v>33</v>
      </c>
      <c r="G95" s="5" t="s">
        <v>60</v>
      </c>
      <c r="H95" s="6" t="s">
        <v>30</v>
      </c>
      <c r="I95" s="12" t="s">
        <v>50</v>
      </c>
      <c r="J95" s="6">
        <v>44704</v>
      </c>
      <c r="K95" s="18">
        <v>100</v>
      </c>
    </row>
    <row r="96" spans="1:11" s="4" customFormat="1" ht="51" x14ac:dyDescent="0.2">
      <c r="A96" s="12" t="s">
        <v>8</v>
      </c>
      <c r="B96" s="12" t="s">
        <v>55</v>
      </c>
      <c r="C96" s="12" t="s">
        <v>13</v>
      </c>
      <c r="D96" s="12">
        <v>351029069</v>
      </c>
      <c r="E96" s="12" t="s">
        <v>12</v>
      </c>
      <c r="F96" s="5" t="s">
        <v>33</v>
      </c>
      <c r="G96" s="5" t="s">
        <v>58</v>
      </c>
      <c r="H96" s="6" t="s">
        <v>30</v>
      </c>
      <c r="I96" s="12" t="s">
        <v>50</v>
      </c>
      <c r="J96" s="6">
        <v>44704</v>
      </c>
      <c r="K96" s="18">
        <f>180+120</f>
        <v>300</v>
      </c>
    </row>
    <row r="97" spans="1:11" s="4" customFormat="1" ht="76.5" x14ac:dyDescent="0.2">
      <c r="A97" s="12" t="s">
        <v>8</v>
      </c>
      <c r="B97" s="12" t="s">
        <v>55</v>
      </c>
      <c r="C97" s="12" t="s">
        <v>13</v>
      </c>
      <c r="D97" s="12">
        <v>351029069</v>
      </c>
      <c r="E97" s="12" t="s">
        <v>12</v>
      </c>
      <c r="F97" s="5" t="s">
        <v>33</v>
      </c>
      <c r="G97" s="5" t="s">
        <v>61</v>
      </c>
      <c r="H97" s="6" t="s">
        <v>30</v>
      </c>
      <c r="I97" s="12" t="s">
        <v>50</v>
      </c>
      <c r="J97" s="6">
        <v>44704</v>
      </c>
      <c r="K97" s="18">
        <f>457.65+100</f>
        <v>557.65</v>
      </c>
    </row>
    <row r="98" spans="1:11" s="4" customFormat="1" ht="102" x14ac:dyDescent="0.2">
      <c r="A98" s="12" t="s">
        <v>8</v>
      </c>
      <c r="B98" s="12" t="s">
        <v>55</v>
      </c>
      <c r="C98" s="12" t="s">
        <v>13</v>
      </c>
      <c r="D98" s="12">
        <v>351048794</v>
      </c>
      <c r="E98" s="12" t="s">
        <v>12</v>
      </c>
      <c r="F98" s="12" t="s">
        <v>206</v>
      </c>
      <c r="G98" s="5" t="s">
        <v>62</v>
      </c>
      <c r="H98" s="6" t="s">
        <v>289</v>
      </c>
      <c r="I98" s="12" t="s">
        <v>63</v>
      </c>
      <c r="J98" s="19">
        <v>45280</v>
      </c>
      <c r="K98" s="18">
        <v>1560</v>
      </c>
    </row>
    <row r="99" spans="1:11" s="4" customFormat="1" ht="153" x14ac:dyDescent="0.2">
      <c r="A99" s="12" t="s">
        <v>8</v>
      </c>
      <c r="B99" s="12" t="s">
        <v>55</v>
      </c>
      <c r="C99" s="12" t="s">
        <v>12</v>
      </c>
      <c r="D99" s="12">
        <v>351032797</v>
      </c>
      <c r="E99" s="12" t="s">
        <v>13</v>
      </c>
      <c r="F99" s="12" t="s">
        <v>280</v>
      </c>
      <c r="G99" s="5" t="s">
        <v>64</v>
      </c>
      <c r="H99" s="6" t="s">
        <v>66</v>
      </c>
      <c r="I99" s="12" t="s">
        <v>63</v>
      </c>
      <c r="J99" s="6">
        <v>44725</v>
      </c>
      <c r="K99" s="18">
        <v>1250</v>
      </c>
    </row>
    <row r="100" spans="1:11" s="4" customFormat="1" ht="165.75" x14ac:dyDescent="0.2">
      <c r="A100" s="12" t="s">
        <v>8</v>
      </c>
      <c r="B100" s="12" t="s">
        <v>55</v>
      </c>
      <c r="C100" s="12" t="s">
        <v>12</v>
      </c>
      <c r="D100" s="12">
        <v>351032797</v>
      </c>
      <c r="E100" s="12" t="s">
        <v>13</v>
      </c>
      <c r="F100" s="12" t="s">
        <v>280</v>
      </c>
      <c r="G100" s="5" t="s">
        <v>65</v>
      </c>
      <c r="H100" s="6" t="s">
        <v>66</v>
      </c>
      <c r="I100" s="12" t="s">
        <v>63</v>
      </c>
      <c r="J100" s="6">
        <v>44740</v>
      </c>
      <c r="K100" s="18">
        <v>240</v>
      </c>
    </row>
    <row r="101" spans="1:11" s="4" customFormat="1" ht="242.25" x14ac:dyDescent="0.2">
      <c r="A101" s="12" t="s">
        <v>8</v>
      </c>
      <c r="B101" s="12" t="s">
        <v>55</v>
      </c>
      <c r="C101" s="12" t="s">
        <v>12</v>
      </c>
      <c r="D101" s="12">
        <v>351032797</v>
      </c>
      <c r="E101" s="12" t="s">
        <v>13</v>
      </c>
      <c r="F101" s="12" t="s">
        <v>280</v>
      </c>
      <c r="G101" s="5" t="s">
        <v>67</v>
      </c>
      <c r="H101" s="6" t="s">
        <v>66</v>
      </c>
      <c r="I101" s="12" t="s">
        <v>63</v>
      </c>
      <c r="J101" s="6">
        <v>44740</v>
      </c>
      <c r="K101" s="18">
        <v>280</v>
      </c>
    </row>
    <row r="102" spans="1:11" s="4" customFormat="1" ht="76.5" x14ac:dyDescent="0.2">
      <c r="A102" s="12" t="s">
        <v>8</v>
      </c>
      <c r="B102" s="12" t="s">
        <v>55</v>
      </c>
      <c r="C102" s="12" t="s">
        <v>13</v>
      </c>
      <c r="D102" s="12">
        <v>351033231</v>
      </c>
      <c r="E102" s="12" t="s">
        <v>12</v>
      </c>
      <c r="F102" s="12" t="s">
        <v>68</v>
      </c>
      <c r="G102" s="5" t="s">
        <v>69</v>
      </c>
      <c r="H102" s="6" t="s">
        <v>289</v>
      </c>
      <c r="I102" s="5" t="s">
        <v>49</v>
      </c>
      <c r="J102" s="6">
        <v>44743</v>
      </c>
      <c r="K102" s="18">
        <v>2560</v>
      </c>
    </row>
    <row r="103" spans="1:11" s="4" customFormat="1" ht="89.25" x14ac:dyDescent="0.2">
      <c r="A103" s="12" t="s">
        <v>8</v>
      </c>
      <c r="B103" s="12" t="s">
        <v>55</v>
      </c>
      <c r="C103" s="12" t="s">
        <v>13</v>
      </c>
      <c r="D103" s="12">
        <v>351032817</v>
      </c>
      <c r="E103" s="12" t="s">
        <v>12</v>
      </c>
      <c r="F103" s="12" t="s">
        <v>68</v>
      </c>
      <c r="G103" s="5" t="s">
        <v>70</v>
      </c>
      <c r="H103" s="6" t="s">
        <v>30</v>
      </c>
      <c r="I103" s="12" t="s">
        <v>50</v>
      </c>
      <c r="J103" s="6">
        <v>44754</v>
      </c>
      <c r="K103" s="18">
        <v>55</v>
      </c>
    </row>
    <row r="104" spans="1:11" s="4" customFormat="1" ht="63.75" x14ac:dyDescent="0.2">
      <c r="A104" s="12" t="s">
        <v>8</v>
      </c>
      <c r="B104" s="12" t="s">
        <v>55</v>
      </c>
      <c r="C104" s="12" t="s">
        <v>13</v>
      </c>
      <c r="D104" s="12">
        <v>351036001</v>
      </c>
      <c r="E104" s="12" t="s">
        <v>12</v>
      </c>
      <c r="F104" s="12" t="s">
        <v>68</v>
      </c>
      <c r="G104" s="5" t="s">
        <v>72</v>
      </c>
      <c r="H104" s="6" t="s">
        <v>30</v>
      </c>
      <c r="I104" s="12" t="s">
        <v>50</v>
      </c>
      <c r="J104" s="6">
        <v>44761</v>
      </c>
      <c r="K104" s="18">
        <v>467.46</v>
      </c>
    </row>
    <row r="105" spans="1:11" s="4" customFormat="1" ht="76.5" x14ac:dyDescent="0.2">
      <c r="A105" s="12" t="s">
        <v>8</v>
      </c>
      <c r="B105" s="12" t="s">
        <v>55</v>
      </c>
      <c r="C105" s="12" t="s">
        <v>13</v>
      </c>
      <c r="D105" s="12" t="s">
        <v>80</v>
      </c>
      <c r="E105" s="12" t="s">
        <v>12</v>
      </c>
      <c r="F105" s="12" t="s">
        <v>68</v>
      </c>
      <c r="G105" s="5" t="s">
        <v>73</v>
      </c>
      <c r="H105" s="6" t="s">
        <v>79</v>
      </c>
      <c r="I105" s="12" t="s">
        <v>50</v>
      </c>
      <c r="J105" s="6">
        <v>44767</v>
      </c>
      <c r="K105" s="18">
        <v>665.95</v>
      </c>
    </row>
    <row r="106" spans="1:11" s="4" customFormat="1" ht="51" x14ac:dyDescent="0.2">
      <c r="A106" s="12" t="s">
        <v>8</v>
      </c>
      <c r="B106" s="12" t="s">
        <v>55</v>
      </c>
      <c r="C106" s="12" t="s">
        <v>13</v>
      </c>
      <c r="D106" s="12">
        <v>351035198</v>
      </c>
      <c r="E106" s="12" t="s">
        <v>12</v>
      </c>
      <c r="F106" s="12" t="s">
        <v>68</v>
      </c>
      <c r="G106" s="5" t="s">
        <v>74</v>
      </c>
      <c r="H106" s="6" t="s">
        <v>30</v>
      </c>
      <c r="I106" s="12" t="s">
        <v>50</v>
      </c>
      <c r="J106" s="6">
        <v>44775</v>
      </c>
      <c r="K106" s="18">
        <v>150</v>
      </c>
    </row>
    <row r="107" spans="1:11" s="4" customFormat="1" ht="76.5" x14ac:dyDescent="0.2">
      <c r="A107" s="12" t="s">
        <v>8</v>
      </c>
      <c r="B107" s="12" t="s">
        <v>55</v>
      </c>
      <c r="C107" s="12" t="s">
        <v>13</v>
      </c>
      <c r="D107" s="12">
        <v>351008592</v>
      </c>
      <c r="E107" s="12" t="s">
        <v>12</v>
      </c>
      <c r="F107" s="12" t="s">
        <v>68</v>
      </c>
      <c r="G107" s="5" t="s">
        <v>75</v>
      </c>
      <c r="H107" s="6" t="s">
        <v>289</v>
      </c>
      <c r="I107" s="5" t="s">
        <v>49</v>
      </c>
      <c r="J107" s="6">
        <v>44785</v>
      </c>
      <c r="K107" s="18">
        <v>207.5</v>
      </c>
    </row>
    <row r="108" spans="1:11" s="4" customFormat="1" ht="38.25" x14ac:dyDescent="0.2">
      <c r="A108" s="12" t="s">
        <v>8</v>
      </c>
      <c r="B108" s="12" t="s">
        <v>55</v>
      </c>
      <c r="C108" s="12" t="s">
        <v>13</v>
      </c>
      <c r="D108" s="12">
        <v>351036301</v>
      </c>
      <c r="E108" s="12" t="s">
        <v>12</v>
      </c>
      <c r="F108" s="12" t="s">
        <v>68</v>
      </c>
      <c r="G108" s="5" t="s">
        <v>76</v>
      </c>
      <c r="H108" s="6" t="s">
        <v>30</v>
      </c>
      <c r="I108" s="12" t="s">
        <v>50</v>
      </c>
      <c r="J108" s="6">
        <v>44795</v>
      </c>
      <c r="K108" s="18">
        <v>158.05000000000001</v>
      </c>
    </row>
    <row r="109" spans="1:11" s="4" customFormat="1" ht="63.75" x14ac:dyDescent="0.2">
      <c r="A109" s="12" t="s">
        <v>8</v>
      </c>
      <c r="B109" s="12" t="s">
        <v>55</v>
      </c>
      <c r="C109" s="12" t="s">
        <v>13</v>
      </c>
      <c r="D109" s="12">
        <v>351036789</v>
      </c>
      <c r="E109" s="12" t="s">
        <v>12</v>
      </c>
      <c r="F109" s="12" t="s">
        <v>68</v>
      </c>
      <c r="G109" s="5" t="s">
        <v>77</v>
      </c>
      <c r="H109" s="6" t="s">
        <v>289</v>
      </c>
      <c r="I109" s="5" t="s">
        <v>49</v>
      </c>
      <c r="J109" s="6">
        <v>44798</v>
      </c>
      <c r="K109" s="18">
        <v>800</v>
      </c>
    </row>
    <row r="110" spans="1:11" s="4" customFormat="1" ht="76.5" x14ac:dyDescent="0.2">
      <c r="A110" s="12" t="s">
        <v>8</v>
      </c>
      <c r="B110" s="12" t="s">
        <v>55</v>
      </c>
      <c r="C110" s="12" t="s">
        <v>13</v>
      </c>
      <c r="D110" s="12">
        <v>351036788</v>
      </c>
      <c r="E110" s="12" t="s">
        <v>12</v>
      </c>
      <c r="F110" s="12" t="s">
        <v>68</v>
      </c>
      <c r="G110" s="5" t="s">
        <v>78</v>
      </c>
      <c r="H110" s="6" t="s">
        <v>30</v>
      </c>
      <c r="I110" s="12" t="s">
        <v>50</v>
      </c>
      <c r="J110" s="6">
        <v>44803</v>
      </c>
      <c r="K110" s="18">
        <v>337.69</v>
      </c>
    </row>
    <row r="111" spans="1:11" s="4" customFormat="1" ht="63.75" x14ac:dyDescent="0.2">
      <c r="A111" s="12" t="s">
        <v>8</v>
      </c>
      <c r="B111" s="12" t="s">
        <v>55</v>
      </c>
      <c r="C111" s="12" t="s">
        <v>13</v>
      </c>
      <c r="D111" s="12">
        <v>351036792</v>
      </c>
      <c r="E111" s="12" t="s">
        <v>12</v>
      </c>
      <c r="F111" s="12" t="s">
        <v>68</v>
      </c>
      <c r="G111" s="5" t="s">
        <v>72</v>
      </c>
      <c r="H111" s="6" t="s">
        <v>30</v>
      </c>
      <c r="I111" s="12" t="s">
        <v>50</v>
      </c>
      <c r="J111" s="6">
        <v>44761</v>
      </c>
      <c r="K111" s="18">
        <v>207.69</v>
      </c>
    </row>
    <row r="112" spans="1:11" s="4" customFormat="1" ht="102" x14ac:dyDescent="0.2">
      <c r="A112" s="12" t="s">
        <v>8</v>
      </c>
      <c r="B112" s="12" t="s">
        <v>55</v>
      </c>
      <c r="C112" s="12" t="s">
        <v>12</v>
      </c>
      <c r="D112" s="12">
        <v>351043697</v>
      </c>
      <c r="E112" s="12" t="s">
        <v>13</v>
      </c>
      <c r="F112" s="12" t="s">
        <v>280</v>
      </c>
      <c r="G112" s="5" t="s">
        <v>81</v>
      </c>
      <c r="H112" s="6" t="s">
        <v>66</v>
      </c>
      <c r="I112" s="12" t="s">
        <v>49</v>
      </c>
      <c r="J112" s="6">
        <v>44882</v>
      </c>
      <c r="K112" s="18">
        <v>820</v>
      </c>
    </row>
    <row r="113" spans="1:11" s="4" customFormat="1" ht="102" x14ac:dyDescent="0.2">
      <c r="A113" s="12" t="s">
        <v>8</v>
      </c>
      <c r="B113" s="12" t="s">
        <v>55</v>
      </c>
      <c r="C113" s="12"/>
      <c r="D113" s="12">
        <v>351044522</v>
      </c>
      <c r="E113" s="12"/>
      <c r="F113" s="12" t="s">
        <v>82</v>
      </c>
      <c r="G113" s="5" t="s">
        <v>83</v>
      </c>
      <c r="H113" s="6" t="s">
        <v>66</v>
      </c>
      <c r="I113" s="12" t="s">
        <v>49</v>
      </c>
      <c r="J113" s="19">
        <v>44886</v>
      </c>
      <c r="K113" s="18">
        <v>150</v>
      </c>
    </row>
    <row r="114" spans="1:11" s="4" customFormat="1" ht="38.25" x14ac:dyDescent="0.2">
      <c r="A114" s="12" t="s">
        <v>8</v>
      </c>
      <c r="B114" s="12" t="s">
        <v>55</v>
      </c>
      <c r="C114" s="12" t="s">
        <v>13</v>
      </c>
      <c r="D114" s="12">
        <v>351048851</v>
      </c>
      <c r="E114" s="12" t="s">
        <v>12</v>
      </c>
      <c r="F114" s="12" t="s">
        <v>33</v>
      </c>
      <c r="G114" s="5" t="s">
        <v>57</v>
      </c>
      <c r="H114" s="6" t="s">
        <v>289</v>
      </c>
      <c r="I114" s="12" t="s">
        <v>49</v>
      </c>
      <c r="J114" s="6">
        <v>44686</v>
      </c>
      <c r="K114" s="18">
        <v>780</v>
      </c>
    </row>
    <row r="115" spans="1:11" s="4" customFormat="1" ht="51" x14ac:dyDescent="0.2">
      <c r="A115" s="12" t="s">
        <v>8</v>
      </c>
      <c r="B115" s="12" t="s">
        <v>55</v>
      </c>
      <c r="C115" s="12" t="s">
        <v>13</v>
      </c>
      <c r="D115" s="12">
        <v>351048851</v>
      </c>
      <c r="E115" s="12" t="s">
        <v>12</v>
      </c>
      <c r="F115" s="12" t="s">
        <v>33</v>
      </c>
      <c r="G115" s="5" t="s">
        <v>58</v>
      </c>
      <c r="H115" s="6" t="s">
        <v>289</v>
      </c>
      <c r="I115" s="12" t="s">
        <v>49</v>
      </c>
      <c r="J115" s="6">
        <v>44686</v>
      </c>
      <c r="K115" s="18">
        <v>1170</v>
      </c>
    </row>
    <row r="116" spans="1:11" s="4" customFormat="1" ht="51" x14ac:dyDescent="0.2">
      <c r="A116" s="12" t="s">
        <v>8</v>
      </c>
      <c r="B116" s="12" t="s">
        <v>55</v>
      </c>
      <c r="C116" s="12" t="s">
        <v>13</v>
      </c>
      <c r="D116" s="12">
        <v>351048851</v>
      </c>
      <c r="E116" s="12" t="s">
        <v>12</v>
      </c>
      <c r="F116" s="12" t="s">
        <v>33</v>
      </c>
      <c r="G116" s="5" t="s">
        <v>59</v>
      </c>
      <c r="H116" s="6" t="s">
        <v>289</v>
      </c>
      <c r="I116" s="12" t="s">
        <v>49</v>
      </c>
      <c r="J116" s="6">
        <v>44686</v>
      </c>
      <c r="K116" s="18">
        <v>325</v>
      </c>
    </row>
    <row r="117" spans="1:11" s="4" customFormat="1" ht="38.25" x14ac:dyDescent="0.2">
      <c r="A117" s="12" t="s">
        <v>8</v>
      </c>
      <c r="B117" s="12" t="s">
        <v>55</v>
      </c>
      <c r="C117" s="12" t="s">
        <v>13</v>
      </c>
      <c r="D117" s="12">
        <v>351029069</v>
      </c>
      <c r="E117" s="12" t="s">
        <v>12</v>
      </c>
      <c r="F117" s="12" t="s">
        <v>33</v>
      </c>
      <c r="G117" s="5" t="s">
        <v>60</v>
      </c>
      <c r="H117" s="6" t="s">
        <v>30</v>
      </c>
      <c r="I117" s="12" t="s">
        <v>50</v>
      </c>
      <c r="J117" s="6">
        <v>44704</v>
      </c>
      <c r="K117" s="18">
        <v>100</v>
      </c>
    </row>
    <row r="118" spans="1:11" s="4" customFormat="1" ht="51" x14ac:dyDescent="0.2">
      <c r="A118" s="12" t="s">
        <v>8</v>
      </c>
      <c r="B118" s="12" t="s">
        <v>55</v>
      </c>
      <c r="C118" s="12" t="s">
        <v>13</v>
      </c>
      <c r="D118" s="12">
        <v>351029069</v>
      </c>
      <c r="E118" s="12" t="s">
        <v>12</v>
      </c>
      <c r="F118" s="12" t="s">
        <v>33</v>
      </c>
      <c r="G118" s="5" t="s">
        <v>58</v>
      </c>
      <c r="H118" s="6" t="s">
        <v>30</v>
      </c>
      <c r="I118" s="12" t="s">
        <v>50</v>
      </c>
      <c r="J118" s="6">
        <v>44704</v>
      </c>
      <c r="K118" s="18">
        <v>300</v>
      </c>
    </row>
    <row r="119" spans="1:11" s="4" customFormat="1" ht="76.5" x14ac:dyDescent="0.2">
      <c r="A119" s="12" t="s">
        <v>8</v>
      </c>
      <c r="B119" s="12" t="s">
        <v>55</v>
      </c>
      <c r="C119" s="12" t="s">
        <v>13</v>
      </c>
      <c r="D119" s="12">
        <v>351029069</v>
      </c>
      <c r="E119" s="12" t="s">
        <v>12</v>
      </c>
      <c r="F119" s="12" t="s">
        <v>33</v>
      </c>
      <c r="G119" s="5" t="s">
        <v>61</v>
      </c>
      <c r="H119" s="6" t="s">
        <v>30</v>
      </c>
      <c r="I119" s="12" t="s">
        <v>50</v>
      </c>
      <c r="J119" s="6">
        <v>44704</v>
      </c>
      <c r="K119" s="18">
        <v>557.65</v>
      </c>
    </row>
    <row r="120" spans="1:11" s="4" customFormat="1" ht="76.5" x14ac:dyDescent="0.2">
      <c r="A120" s="12" t="s">
        <v>8</v>
      </c>
      <c r="B120" s="12" t="s">
        <v>55</v>
      </c>
      <c r="C120" s="12" t="s">
        <v>13</v>
      </c>
      <c r="D120" s="12">
        <v>351035760</v>
      </c>
      <c r="E120" s="12" t="s">
        <v>12</v>
      </c>
      <c r="F120" s="12" t="s">
        <v>33</v>
      </c>
      <c r="G120" s="5" t="s">
        <v>84</v>
      </c>
      <c r="H120" s="5" t="s">
        <v>30</v>
      </c>
      <c r="I120" s="12" t="s">
        <v>50</v>
      </c>
      <c r="J120" s="6">
        <v>44789</v>
      </c>
      <c r="K120" s="18">
        <v>127</v>
      </c>
    </row>
    <row r="121" spans="1:11" s="4" customFormat="1" ht="76.5" x14ac:dyDescent="0.2">
      <c r="A121" s="12" t="s">
        <v>8</v>
      </c>
      <c r="B121" s="12" t="s">
        <v>55</v>
      </c>
      <c r="C121" s="12" t="s">
        <v>13</v>
      </c>
      <c r="D121" s="12">
        <v>351035760</v>
      </c>
      <c r="E121" s="12" t="s">
        <v>12</v>
      </c>
      <c r="F121" s="12" t="s">
        <v>33</v>
      </c>
      <c r="G121" s="5" t="s">
        <v>85</v>
      </c>
      <c r="H121" s="5" t="s">
        <v>30</v>
      </c>
      <c r="I121" s="12" t="s">
        <v>50</v>
      </c>
      <c r="J121" s="6">
        <v>44789</v>
      </c>
      <c r="K121" s="18">
        <v>89.6</v>
      </c>
    </row>
    <row r="122" spans="1:11" s="4" customFormat="1" ht="140.25" x14ac:dyDescent="0.2">
      <c r="A122" s="12" t="s">
        <v>8</v>
      </c>
      <c r="B122" s="12" t="s">
        <v>55</v>
      </c>
      <c r="C122" s="12" t="s">
        <v>13</v>
      </c>
      <c r="D122" s="12">
        <v>351041241</v>
      </c>
      <c r="E122" s="12" t="s">
        <v>12</v>
      </c>
      <c r="F122" s="12" t="s">
        <v>33</v>
      </c>
      <c r="G122" s="5" t="s">
        <v>86</v>
      </c>
      <c r="H122" s="6" t="s">
        <v>30</v>
      </c>
      <c r="I122" s="12" t="s">
        <v>50</v>
      </c>
      <c r="J122" s="6">
        <v>44851</v>
      </c>
      <c r="K122" s="18">
        <v>193</v>
      </c>
    </row>
    <row r="123" spans="1:11" s="4" customFormat="1" ht="89.25" x14ac:dyDescent="0.2">
      <c r="A123" s="12" t="s">
        <v>8</v>
      </c>
      <c r="B123" s="12" t="s">
        <v>55</v>
      </c>
      <c r="C123" s="12" t="s">
        <v>13</v>
      </c>
      <c r="D123" s="12" t="s">
        <v>97</v>
      </c>
      <c r="E123" s="12" t="s">
        <v>12</v>
      </c>
      <c r="F123" s="12" t="s">
        <v>33</v>
      </c>
      <c r="G123" s="5" t="s">
        <v>87</v>
      </c>
      <c r="H123" s="6" t="s">
        <v>95</v>
      </c>
      <c r="I123" s="12" t="s">
        <v>50</v>
      </c>
      <c r="J123" s="6">
        <v>44873</v>
      </c>
      <c r="K123" s="18">
        <v>42.8</v>
      </c>
    </row>
    <row r="124" spans="1:11" s="4" customFormat="1" ht="76.5" x14ac:dyDescent="0.2">
      <c r="A124" s="12" t="s">
        <v>8</v>
      </c>
      <c r="B124" s="12" t="s">
        <v>55</v>
      </c>
      <c r="C124" s="12" t="s">
        <v>13</v>
      </c>
      <c r="D124" s="12" t="s">
        <v>97</v>
      </c>
      <c r="E124" s="12" t="s">
        <v>12</v>
      </c>
      <c r="F124" s="12" t="s">
        <v>33</v>
      </c>
      <c r="G124" s="5" t="s">
        <v>88</v>
      </c>
      <c r="H124" s="6" t="s">
        <v>95</v>
      </c>
      <c r="I124" s="12" t="s">
        <v>50</v>
      </c>
      <c r="J124" s="6">
        <v>44887</v>
      </c>
      <c r="K124" s="18">
        <v>20.8</v>
      </c>
    </row>
    <row r="125" spans="1:11" s="4" customFormat="1" ht="76.5" x14ac:dyDescent="0.2">
      <c r="A125" s="12" t="s">
        <v>8</v>
      </c>
      <c r="B125" s="12" t="s">
        <v>55</v>
      </c>
      <c r="C125" s="12" t="s">
        <v>13</v>
      </c>
      <c r="D125" s="12">
        <v>351043099</v>
      </c>
      <c r="E125" s="12" t="s">
        <v>12</v>
      </c>
      <c r="F125" s="12" t="s">
        <v>33</v>
      </c>
      <c r="G125" s="5" t="s">
        <v>89</v>
      </c>
      <c r="H125" s="6" t="s">
        <v>66</v>
      </c>
      <c r="I125" s="6" t="s">
        <v>50</v>
      </c>
      <c r="J125" s="6" t="s">
        <v>52</v>
      </c>
      <c r="K125" s="18">
        <v>268.33</v>
      </c>
    </row>
    <row r="126" spans="1:11" s="4" customFormat="1" ht="51" x14ac:dyDescent="0.2">
      <c r="A126" s="12" t="s">
        <v>8</v>
      </c>
      <c r="B126" s="12" t="s">
        <v>55</v>
      </c>
      <c r="C126" s="12" t="s">
        <v>13</v>
      </c>
      <c r="D126" s="12">
        <v>351029060</v>
      </c>
      <c r="E126" s="12" t="s">
        <v>12</v>
      </c>
      <c r="F126" s="12" t="s">
        <v>33</v>
      </c>
      <c r="G126" s="5" t="s">
        <v>90</v>
      </c>
      <c r="H126" s="6" t="s">
        <v>96</v>
      </c>
      <c r="I126" s="12" t="s">
        <v>50</v>
      </c>
      <c r="J126" s="20" t="s">
        <v>52</v>
      </c>
      <c r="K126" s="18">
        <v>1470</v>
      </c>
    </row>
    <row r="127" spans="1:11" s="4" customFormat="1" ht="38.25" x14ac:dyDescent="0.2">
      <c r="A127" s="12" t="s">
        <v>8</v>
      </c>
      <c r="B127" s="12" t="s">
        <v>55</v>
      </c>
      <c r="C127" s="12" t="s">
        <v>13</v>
      </c>
      <c r="D127" s="12">
        <v>351029060</v>
      </c>
      <c r="E127" s="12" t="s">
        <v>12</v>
      </c>
      <c r="F127" s="12" t="s">
        <v>33</v>
      </c>
      <c r="G127" s="5" t="s">
        <v>91</v>
      </c>
      <c r="H127" s="6" t="s">
        <v>96</v>
      </c>
      <c r="I127" s="12" t="s">
        <v>50</v>
      </c>
      <c r="J127" s="20" t="s">
        <v>52</v>
      </c>
      <c r="K127" s="18">
        <v>1230</v>
      </c>
    </row>
    <row r="128" spans="1:11" s="4" customFormat="1" ht="51" x14ac:dyDescent="0.2">
      <c r="A128" s="12" t="s">
        <v>8</v>
      </c>
      <c r="B128" s="12" t="s">
        <v>55</v>
      </c>
      <c r="C128" s="12" t="s">
        <v>13</v>
      </c>
      <c r="D128" s="12" t="s">
        <v>98</v>
      </c>
      <c r="E128" s="12" t="s">
        <v>12</v>
      </c>
      <c r="F128" s="12" t="s">
        <v>33</v>
      </c>
      <c r="G128" s="5" t="s">
        <v>92</v>
      </c>
      <c r="H128" s="6" t="s">
        <v>289</v>
      </c>
      <c r="I128" s="12" t="s">
        <v>49</v>
      </c>
      <c r="J128" s="20" t="s">
        <v>52</v>
      </c>
      <c r="K128" s="18">
        <v>65</v>
      </c>
    </row>
    <row r="129" spans="1:11" s="4" customFormat="1" ht="114.75" x14ac:dyDescent="0.2">
      <c r="A129" s="12" t="s">
        <v>8</v>
      </c>
      <c r="B129" s="12" t="s">
        <v>55</v>
      </c>
      <c r="C129" s="12" t="s">
        <v>13</v>
      </c>
      <c r="D129" s="12">
        <v>351050237</v>
      </c>
      <c r="E129" s="12" t="s">
        <v>12</v>
      </c>
      <c r="F129" s="12" t="s">
        <v>33</v>
      </c>
      <c r="G129" s="5" t="s">
        <v>93</v>
      </c>
      <c r="H129" s="6" t="s">
        <v>66</v>
      </c>
      <c r="I129" s="12" t="s">
        <v>49</v>
      </c>
      <c r="J129" s="6">
        <v>44950</v>
      </c>
      <c r="K129" s="18">
        <v>120</v>
      </c>
    </row>
    <row r="130" spans="1:11" s="4" customFormat="1" ht="178.5" x14ac:dyDescent="0.2">
      <c r="A130" s="12" t="s">
        <v>8</v>
      </c>
      <c r="B130" s="12" t="s">
        <v>55</v>
      </c>
      <c r="C130" s="12" t="s">
        <v>13</v>
      </c>
      <c r="D130" s="12">
        <v>351050236</v>
      </c>
      <c r="E130" s="12" t="s">
        <v>12</v>
      </c>
      <c r="F130" s="12" t="s">
        <v>33</v>
      </c>
      <c r="G130" s="5" t="s">
        <v>94</v>
      </c>
      <c r="H130" s="6" t="s">
        <v>66</v>
      </c>
      <c r="I130" s="12" t="s">
        <v>50</v>
      </c>
      <c r="J130" s="6">
        <v>44950</v>
      </c>
      <c r="K130" s="18">
        <v>98.33</v>
      </c>
    </row>
    <row r="131" spans="1:11" s="4" customFormat="1" ht="89.25" x14ac:dyDescent="0.2">
      <c r="A131" s="12" t="s">
        <v>8</v>
      </c>
      <c r="B131" s="12" t="s">
        <v>55</v>
      </c>
      <c r="C131" s="12" t="s">
        <v>12</v>
      </c>
      <c r="D131" s="12">
        <v>351047095</v>
      </c>
      <c r="E131" s="12" t="s">
        <v>13</v>
      </c>
      <c r="F131" s="12" t="s">
        <v>45</v>
      </c>
      <c r="G131" s="5" t="s">
        <v>99</v>
      </c>
      <c r="H131" s="6" t="s">
        <v>289</v>
      </c>
      <c r="I131" s="12" t="s">
        <v>49</v>
      </c>
      <c r="J131" s="6">
        <v>44883</v>
      </c>
      <c r="K131" s="18">
        <f>12*35</f>
        <v>420</v>
      </c>
    </row>
    <row r="132" spans="1:11" s="4" customFormat="1" ht="216.75" x14ac:dyDescent="0.2">
      <c r="A132" s="12" t="s">
        <v>8</v>
      </c>
      <c r="B132" s="12" t="s">
        <v>55</v>
      </c>
      <c r="C132" s="12" t="s">
        <v>12</v>
      </c>
      <c r="D132" s="12">
        <v>351048009</v>
      </c>
      <c r="E132" s="12" t="s">
        <v>13</v>
      </c>
      <c r="F132" s="12" t="s">
        <v>45</v>
      </c>
      <c r="G132" s="5" t="s">
        <v>100</v>
      </c>
      <c r="H132" s="6" t="s">
        <v>289</v>
      </c>
      <c r="I132" s="12" t="s">
        <v>49</v>
      </c>
      <c r="J132" s="6">
        <v>44916</v>
      </c>
      <c r="K132" s="18">
        <v>825</v>
      </c>
    </row>
    <row r="133" spans="1:11" s="4" customFormat="1" ht="216.75" x14ac:dyDescent="0.2">
      <c r="A133" s="12" t="s">
        <v>8</v>
      </c>
      <c r="B133" s="12" t="s">
        <v>55</v>
      </c>
      <c r="C133" s="12" t="s">
        <v>12</v>
      </c>
      <c r="D133" s="12">
        <v>351049816</v>
      </c>
      <c r="E133" s="12" t="s">
        <v>13</v>
      </c>
      <c r="F133" s="12" t="s">
        <v>45</v>
      </c>
      <c r="G133" s="5" t="s">
        <v>101</v>
      </c>
      <c r="H133" s="6" t="s">
        <v>289</v>
      </c>
      <c r="I133" s="12" t="s">
        <v>49</v>
      </c>
      <c r="J133" s="6">
        <v>44956</v>
      </c>
      <c r="K133" s="18">
        <v>65</v>
      </c>
    </row>
    <row r="134" spans="1:11" s="4" customFormat="1" ht="191.25" x14ac:dyDescent="0.2">
      <c r="A134" s="12" t="s">
        <v>8</v>
      </c>
      <c r="B134" s="12" t="s">
        <v>55</v>
      </c>
      <c r="C134" s="12" t="s">
        <v>12</v>
      </c>
      <c r="D134" s="12">
        <v>351050281</v>
      </c>
      <c r="E134" s="12" t="s">
        <v>13</v>
      </c>
      <c r="F134" s="12" t="s">
        <v>45</v>
      </c>
      <c r="G134" s="5" t="s">
        <v>102</v>
      </c>
      <c r="H134" s="6" t="s">
        <v>289</v>
      </c>
      <c r="I134" s="12" t="s">
        <v>49</v>
      </c>
      <c r="J134" s="6">
        <v>44959</v>
      </c>
      <c r="K134" s="18">
        <v>260</v>
      </c>
    </row>
    <row r="135" spans="1:11" s="4" customFormat="1" ht="127.5" x14ac:dyDescent="0.2">
      <c r="A135" s="12" t="s">
        <v>8</v>
      </c>
      <c r="B135" s="12" t="s">
        <v>55</v>
      </c>
      <c r="C135" s="12" t="s">
        <v>12</v>
      </c>
      <c r="D135" s="12" t="s">
        <v>104</v>
      </c>
      <c r="E135" s="12" t="s">
        <v>13</v>
      </c>
      <c r="F135" s="12" t="s">
        <v>45</v>
      </c>
      <c r="G135" s="5" t="s">
        <v>103</v>
      </c>
      <c r="H135" s="6" t="s">
        <v>30</v>
      </c>
      <c r="I135" s="12" t="s">
        <v>50</v>
      </c>
      <c r="J135" s="6">
        <v>44963</v>
      </c>
      <c r="K135" s="18">
        <v>360</v>
      </c>
    </row>
    <row r="136" spans="1:11" s="4" customFormat="1" ht="114.75" x14ac:dyDescent="0.2">
      <c r="A136" s="12" t="s">
        <v>8</v>
      </c>
      <c r="B136" s="12" t="s">
        <v>55</v>
      </c>
      <c r="C136" s="12" t="s">
        <v>12</v>
      </c>
      <c r="D136" s="12">
        <v>351052137</v>
      </c>
      <c r="E136" s="12" t="s">
        <v>13</v>
      </c>
      <c r="F136" s="12" t="s">
        <v>45</v>
      </c>
      <c r="G136" s="12" t="s">
        <v>105</v>
      </c>
      <c r="H136" s="6" t="s">
        <v>289</v>
      </c>
      <c r="I136" s="12" t="s">
        <v>49</v>
      </c>
      <c r="J136" s="6">
        <v>44977</v>
      </c>
      <c r="K136" s="18">
        <v>65</v>
      </c>
    </row>
    <row r="137" spans="1:11" s="4" customFormat="1" ht="89.25" x14ac:dyDescent="0.2">
      <c r="A137" s="12" t="s">
        <v>8</v>
      </c>
      <c r="B137" s="12" t="s">
        <v>55</v>
      </c>
      <c r="C137" s="12" t="s">
        <v>12</v>
      </c>
      <c r="D137" s="12">
        <v>351051991</v>
      </c>
      <c r="E137" s="12" t="s">
        <v>13</v>
      </c>
      <c r="F137" s="12" t="s">
        <v>45</v>
      </c>
      <c r="G137" s="5" t="s">
        <v>106</v>
      </c>
      <c r="H137" s="6" t="s">
        <v>289</v>
      </c>
      <c r="I137" s="12" t="s">
        <v>49</v>
      </c>
      <c r="J137" s="6">
        <v>44984</v>
      </c>
      <c r="K137" s="18">
        <v>65</v>
      </c>
    </row>
    <row r="138" spans="1:11" s="4" customFormat="1" ht="102" x14ac:dyDescent="0.2">
      <c r="A138" s="12" t="s">
        <v>8</v>
      </c>
      <c r="B138" s="12" t="s">
        <v>107</v>
      </c>
      <c r="C138" s="12" t="s">
        <v>12</v>
      </c>
      <c r="D138" s="12">
        <v>351053438</v>
      </c>
      <c r="E138" s="12" t="s">
        <v>13</v>
      </c>
      <c r="F138" s="12" t="s">
        <v>45</v>
      </c>
      <c r="G138" s="5" t="s">
        <v>110</v>
      </c>
      <c r="H138" s="6" t="s">
        <v>289</v>
      </c>
      <c r="I138" s="12" t="s">
        <v>49</v>
      </c>
      <c r="J138" s="6">
        <v>44985</v>
      </c>
      <c r="K138" s="18">
        <v>780</v>
      </c>
    </row>
    <row r="139" spans="1:11" s="4" customFormat="1" ht="178.5" x14ac:dyDescent="0.2">
      <c r="A139" s="12" t="s">
        <v>8</v>
      </c>
      <c r="B139" s="12" t="s">
        <v>107</v>
      </c>
      <c r="C139" s="12" t="s">
        <v>12</v>
      </c>
      <c r="D139" s="12">
        <v>351056134</v>
      </c>
      <c r="E139" s="12" t="s">
        <v>13</v>
      </c>
      <c r="F139" s="12" t="s">
        <v>45</v>
      </c>
      <c r="G139" s="5" t="s">
        <v>111</v>
      </c>
      <c r="H139" s="6" t="s">
        <v>134</v>
      </c>
      <c r="I139" s="12" t="s">
        <v>50</v>
      </c>
      <c r="J139" s="6">
        <v>45029</v>
      </c>
      <c r="K139" s="18">
        <v>1867.56</v>
      </c>
    </row>
    <row r="140" spans="1:11" s="4" customFormat="1" ht="153" x14ac:dyDescent="0.2">
      <c r="A140" s="12" t="s">
        <v>8</v>
      </c>
      <c r="B140" s="12" t="s">
        <v>107</v>
      </c>
      <c r="C140" s="12" t="s">
        <v>12</v>
      </c>
      <c r="D140" s="12">
        <v>351059041</v>
      </c>
      <c r="E140" s="12" t="s">
        <v>13</v>
      </c>
      <c r="F140" s="12" t="s">
        <v>45</v>
      </c>
      <c r="G140" s="5" t="s">
        <v>112</v>
      </c>
      <c r="H140" s="6" t="s">
        <v>66</v>
      </c>
      <c r="I140" s="5" t="s">
        <v>49</v>
      </c>
      <c r="J140" s="6">
        <v>45058</v>
      </c>
      <c r="K140" s="18">
        <v>280</v>
      </c>
    </row>
    <row r="141" spans="1:11" s="4" customFormat="1" ht="114.75" x14ac:dyDescent="0.2">
      <c r="A141" s="12" t="s">
        <v>8</v>
      </c>
      <c r="B141" s="12" t="s">
        <v>107</v>
      </c>
      <c r="C141" s="12" t="s">
        <v>12</v>
      </c>
      <c r="D141" s="12">
        <v>351066091</v>
      </c>
      <c r="E141" s="12" t="s">
        <v>13</v>
      </c>
      <c r="F141" s="12" t="s">
        <v>45</v>
      </c>
      <c r="G141" s="5" t="s">
        <v>113</v>
      </c>
      <c r="H141" s="6" t="s">
        <v>66</v>
      </c>
      <c r="I141" s="5" t="s">
        <v>49</v>
      </c>
      <c r="J141" s="6">
        <v>45131</v>
      </c>
      <c r="K141" s="18">
        <v>60</v>
      </c>
    </row>
    <row r="142" spans="1:11" s="4" customFormat="1" ht="89.25" x14ac:dyDescent="0.2">
      <c r="A142" s="12" t="s">
        <v>8</v>
      </c>
      <c r="B142" s="12" t="s">
        <v>107</v>
      </c>
      <c r="C142" s="12" t="s">
        <v>12</v>
      </c>
      <c r="D142" s="12">
        <v>351066091</v>
      </c>
      <c r="E142" s="12" t="s">
        <v>13</v>
      </c>
      <c r="F142" s="12" t="s">
        <v>45</v>
      </c>
      <c r="G142" s="5" t="s">
        <v>114</v>
      </c>
      <c r="H142" s="6" t="s">
        <v>66</v>
      </c>
      <c r="I142" s="12" t="s">
        <v>50</v>
      </c>
      <c r="J142" s="6">
        <v>45146</v>
      </c>
      <c r="K142" s="18">
        <v>256</v>
      </c>
    </row>
    <row r="143" spans="1:11" s="4" customFormat="1" ht="306" x14ac:dyDescent="0.2">
      <c r="A143" s="12" t="s">
        <v>8</v>
      </c>
      <c r="B143" s="12" t="s">
        <v>107</v>
      </c>
      <c r="C143" s="12" t="s">
        <v>12</v>
      </c>
      <c r="D143" s="12">
        <v>351073034</v>
      </c>
      <c r="E143" s="12" t="s">
        <v>13</v>
      </c>
      <c r="F143" s="12" t="s">
        <v>45</v>
      </c>
      <c r="G143" s="5" t="s">
        <v>115</v>
      </c>
      <c r="H143" s="6" t="s">
        <v>66</v>
      </c>
      <c r="I143" s="5" t="s">
        <v>49</v>
      </c>
      <c r="J143" s="6">
        <v>45225</v>
      </c>
      <c r="K143" s="18">
        <v>1040</v>
      </c>
    </row>
    <row r="144" spans="1:11" s="4" customFormat="1" ht="89.25" x14ac:dyDescent="0.2">
      <c r="A144" s="12" t="s">
        <v>8</v>
      </c>
      <c r="B144" s="12" t="s">
        <v>107</v>
      </c>
      <c r="C144" s="12" t="s">
        <v>12</v>
      </c>
      <c r="D144" s="12">
        <v>351073034</v>
      </c>
      <c r="E144" s="12" t="s">
        <v>13</v>
      </c>
      <c r="F144" s="12" t="s">
        <v>45</v>
      </c>
      <c r="G144" s="5" t="s">
        <v>116</v>
      </c>
      <c r="H144" s="6" t="s">
        <v>66</v>
      </c>
      <c r="I144" s="12" t="s">
        <v>50</v>
      </c>
      <c r="J144" s="6">
        <v>45225</v>
      </c>
      <c r="K144" s="18">
        <v>37.82</v>
      </c>
    </row>
    <row r="145" spans="1:11" s="4" customFormat="1" ht="89.25" x14ac:dyDescent="0.2">
      <c r="A145" s="12" t="s">
        <v>8</v>
      </c>
      <c r="B145" s="12" t="s">
        <v>107</v>
      </c>
      <c r="C145" s="12" t="s">
        <v>12</v>
      </c>
      <c r="D145" s="12">
        <v>351073034</v>
      </c>
      <c r="E145" s="12" t="s">
        <v>13</v>
      </c>
      <c r="F145" s="12" t="s">
        <v>45</v>
      </c>
      <c r="G145" s="5" t="s">
        <v>117</v>
      </c>
      <c r="H145" s="6" t="s">
        <v>66</v>
      </c>
      <c r="I145" s="12" t="s">
        <v>50</v>
      </c>
      <c r="J145" s="6">
        <v>45225</v>
      </c>
      <c r="K145" s="18">
        <v>37.82</v>
      </c>
    </row>
    <row r="146" spans="1:11" s="4" customFormat="1" ht="89.25" x14ac:dyDescent="0.2">
      <c r="A146" s="12" t="s">
        <v>8</v>
      </c>
      <c r="B146" s="12" t="s">
        <v>107</v>
      </c>
      <c r="C146" s="12" t="s">
        <v>12</v>
      </c>
      <c r="D146" s="12">
        <v>351065922</v>
      </c>
      <c r="E146" s="12" t="s">
        <v>13</v>
      </c>
      <c r="F146" s="12" t="s">
        <v>45</v>
      </c>
      <c r="G146" s="5" t="s">
        <v>118</v>
      </c>
      <c r="H146" s="6" t="s">
        <v>66</v>
      </c>
      <c r="I146" s="5" t="s">
        <v>49</v>
      </c>
      <c r="J146" s="6">
        <v>45139</v>
      </c>
      <c r="K146" s="18">
        <v>100</v>
      </c>
    </row>
    <row r="147" spans="1:11" s="4" customFormat="1" ht="114.75" x14ac:dyDescent="0.2">
      <c r="A147" s="12" t="s">
        <v>8</v>
      </c>
      <c r="B147" s="12" t="s">
        <v>107</v>
      </c>
      <c r="C147" s="12" t="s">
        <v>12</v>
      </c>
      <c r="D147" s="12">
        <v>351069744</v>
      </c>
      <c r="E147" s="12" t="s">
        <v>13</v>
      </c>
      <c r="F147" s="12" t="s">
        <v>45</v>
      </c>
      <c r="G147" s="5" t="s">
        <v>119</v>
      </c>
      <c r="H147" s="6" t="s">
        <v>289</v>
      </c>
      <c r="I147" s="5" t="s">
        <v>49</v>
      </c>
      <c r="J147" s="6">
        <v>44985</v>
      </c>
      <c r="K147" s="18">
        <v>1560</v>
      </c>
    </row>
    <row r="148" spans="1:11" s="4" customFormat="1" ht="255" x14ac:dyDescent="0.2">
      <c r="A148" s="12" t="s">
        <v>8</v>
      </c>
      <c r="B148" s="12" t="s">
        <v>107</v>
      </c>
      <c r="C148" s="12" t="s">
        <v>12</v>
      </c>
      <c r="D148" s="12">
        <v>351069743</v>
      </c>
      <c r="E148" s="12" t="s">
        <v>13</v>
      </c>
      <c r="F148" s="12" t="s">
        <v>45</v>
      </c>
      <c r="G148" s="5" t="s">
        <v>120</v>
      </c>
      <c r="H148" s="6" t="s">
        <v>134</v>
      </c>
      <c r="I148" s="12" t="s">
        <v>50</v>
      </c>
      <c r="J148" s="6">
        <v>45174</v>
      </c>
      <c r="K148" s="18">
        <v>2874.13</v>
      </c>
    </row>
    <row r="149" spans="1:11" s="4" customFormat="1" ht="140.25" x14ac:dyDescent="0.2">
      <c r="A149" s="12" t="s">
        <v>8</v>
      </c>
      <c r="B149" s="12" t="s">
        <v>107</v>
      </c>
      <c r="C149" s="12" t="s">
        <v>12</v>
      </c>
      <c r="D149" s="12" t="s">
        <v>135</v>
      </c>
      <c r="E149" s="12" t="s">
        <v>13</v>
      </c>
      <c r="F149" s="12" t="s">
        <v>45</v>
      </c>
      <c r="G149" s="5" t="s">
        <v>121</v>
      </c>
      <c r="H149" s="6" t="s">
        <v>66</v>
      </c>
      <c r="I149" s="5" t="s">
        <v>49</v>
      </c>
      <c r="J149" s="6">
        <v>45146</v>
      </c>
      <c r="K149" s="18">
        <v>440</v>
      </c>
    </row>
    <row r="150" spans="1:11" s="4" customFormat="1" ht="63.75" x14ac:dyDescent="0.2">
      <c r="A150" s="12" t="s">
        <v>8</v>
      </c>
      <c r="B150" s="12" t="s">
        <v>107</v>
      </c>
      <c r="C150" s="12" t="s">
        <v>12</v>
      </c>
      <c r="D150" s="12" t="s">
        <v>135</v>
      </c>
      <c r="E150" s="12" t="s">
        <v>13</v>
      </c>
      <c r="F150" s="12" t="s">
        <v>45</v>
      </c>
      <c r="G150" s="5" t="s">
        <v>122</v>
      </c>
      <c r="H150" s="6" t="s">
        <v>66</v>
      </c>
      <c r="I150" s="12" t="s">
        <v>50</v>
      </c>
      <c r="J150" s="6">
        <v>45146</v>
      </c>
      <c r="K150" s="18">
        <v>3900</v>
      </c>
    </row>
    <row r="151" spans="1:11" s="4" customFormat="1" ht="89.25" x14ac:dyDescent="0.2">
      <c r="A151" s="12" t="s">
        <v>8</v>
      </c>
      <c r="B151" s="12" t="s">
        <v>107</v>
      </c>
      <c r="C151" s="12" t="s">
        <v>12</v>
      </c>
      <c r="D151" s="12">
        <v>351073034</v>
      </c>
      <c r="E151" s="12" t="s">
        <v>13</v>
      </c>
      <c r="F151" s="12" t="s">
        <v>45</v>
      </c>
      <c r="G151" s="5" t="s">
        <v>124</v>
      </c>
      <c r="H151" s="6" t="s">
        <v>66</v>
      </c>
      <c r="I151" s="12" t="s">
        <v>50</v>
      </c>
      <c r="J151" s="6">
        <v>45225</v>
      </c>
      <c r="K151" s="18">
        <v>37.82</v>
      </c>
    </row>
    <row r="152" spans="1:11" s="4" customFormat="1" ht="114.75" x14ac:dyDescent="0.2">
      <c r="A152" s="12" t="s">
        <v>8</v>
      </c>
      <c r="B152" s="12" t="s">
        <v>107</v>
      </c>
      <c r="C152" s="12" t="s">
        <v>12</v>
      </c>
      <c r="D152" s="12" t="s">
        <v>137</v>
      </c>
      <c r="E152" s="12" t="s">
        <v>13</v>
      </c>
      <c r="F152" s="12" t="s">
        <v>45</v>
      </c>
      <c r="G152" s="5" t="s">
        <v>125</v>
      </c>
      <c r="H152" s="6" t="s">
        <v>66</v>
      </c>
      <c r="I152" s="5" t="s">
        <v>49</v>
      </c>
      <c r="J152" s="6">
        <v>45231</v>
      </c>
      <c r="K152" s="18">
        <v>150</v>
      </c>
    </row>
    <row r="153" spans="1:11" s="4" customFormat="1" ht="127.5" x14ac:dyDescent="0.2">
      <c r="A153" s="12" t="s">
        <v>8</v>
      </c>
      <c r="B153" s="12" t="s">
        <v>107</v>
      </c>
      <c r="C153" s="12" t="s">
        <v>12</v>
      </c>
      <c r="D153" s="12">
        <v>351081171</v>
      </c>
      <c r="E153" s="12" t="s">
        <v>13</v>
      </c>
      <c r="F153" s="12" t="s">
        <v>45</v>
      </c>
      <c r="G153" s="5" t="s">
        <v>126</v>
      </c>
      <c r="H153" s="6" t="s">
        <v>289</v>
      </c>
      <c r="I153" s="5" t="s">
        <v>49</v>
      </c>
      <c r="J153" s="6">
        <v>45317</v>
      </c>
      <c r="K153" s="18">
        <v>95</v>
      </c>
    </row>
    <row r="154" spans="1:11" s="4" customFormat="1" ht="89.25" x14ac:dyDescent="0.2">
      <c r="A154" s="12" t="s">
        <v>8</v>
      </c>
      <c r="B154" s="12" t="s">
        <v>107</v>
      </c>
      <c r="C154" s="12" t="s">
        <v>12</v>
      </c>
      <c r="D154" s="12">
        <v>351082509</v>
      </c>
      <c r="E154" s="12" t="s">
        <v>13</v>
      </c>
      <c r="F154" s="12" t="s">
        <v>45</v>
      </c>
      <c r="G154" s="5" t="s">
        <v>127</v>
      </c>
      <c r="H154" s="6" t="s">
        <v>289</v>
      </c>
      <c r="I154" s="5" t="s">
        <v>49</v>
      </c>
      <c r="J154" s="6">
        <v>45334</v>
      </c>
      <c r="K154" s="18">
        <v>650</v>
      </c>
    </row>
    <row r="155" spans="1:11" s="4" customFormat="1" ht="229.5" x14ac:dyDescent="0.2">
      <c r="A155" s="12" t="s">
        <v>8</v>
      </c>
      <c r="B155" s="12" t="s">
        <v>107</v>
      </c>
      <c r="C155" s="12" t="s">
        <v>12</v>
      </c>
      <c r="D155" s="12">
        <v>351084198</v>
      </c>
      <c r="E155" s="12" t="s">
        <v>13</v>
      </c>
      <c r="F155" s="12" t="s">
        <v>45</v>
      </c>
      <c r="G155" s="5" t="s">
        <v>131</v>
      </c>
      <c r="H155" s="6" t="s">
        <v>289</v>
      </c>
      <c r="I155" s="5" t="s">
        <v>49</v>
      </c>
      <c r="J155" s="6">
        <v>45351</v>
      </c>
      <c r="K155" s="18">
        <v>2750</v>
      </c>
    </row>
    <row r="156" spans="1:11" s="4" customFormat="1" ht="216.75" x14ac:dyDescent="0.2">
      <c r="A156" s="12" t="s">
        <v>8</v>
      </c>
      <c r="B156" s="12" t="s">
        <v>107</v>
      </c>
      <c r="C156" s="12" t="s">
        <v>12</v>
      </c>
      <c r="D156" s="12">
        <v>351084198</v>
      </c>
      <c r="E156" s="12" t="s">
        <v>13</v>
      </c>
      <c r="F156" s="12" t="s">
        <v>45</v>
      </c>
      <c r="G156" s="5" t="s">
        <v>132</v>
      </c>
      <c r="H156" s="6" t="s">
        <v>289</v>
      </c>
      <c r="I156" s="5" t="s">
        <v>49</v>
      </c>
      <c r="J156" s="6">
        <v>45351</v>
      </c>
      <c r="K156" s="18">
        <v>3250</v>
      </c>
    </row>
    <row r="157" spans="1:11" s="4" customFormat="1" ht="63.75" x14ac:dyDescent="0.2">
      <c r="A157" s="12" t="s">
        <v>8</v>
      </c>
      <c r="B157" s="12" t="s">
        <v>107</v>
      </c>
      <c r="C157" s="12" t="s">
        <v>12</v>
      </c>
      <c r="D157" s="12">
        <v>351084198</v>
      </c>
      <c r="E157" s="12" t="s">
        <v>13</v>
      </c>
      <c r="F157" s="12" t="s">
        <v>45</v>
      </c>
      <c r="G157" s="5" t="s">
        <v>133</v>
      </c>
      <c r="H157" s="6" t="s">
        <v>289</v>
      </c>
      <c r="I157" s="5" t="s">
        <v>49</v>
      </c>
      <c r="J157" s="6">
        <v>45351</v>
      </c>
      <c r="K157" s="18">
        <v>3960</v>
      </c>
    </row>
    <row r="158" spans="1:11" s="4" customFormat="1" ht="114.75" x14ac:dyDescent="0.2">
      <c r="A158" s="12" t="s">
        <v>8</v>
      </c>
      <c r="B158" s="12" t="s">
        <v>107</v>
      </c>
      <c r="C158" s="12" t="s">
        <v>13</v>
      </c>
      <c r="D158" s="12">
        <v>351053733</v>
      </c>
      <c r="E158" s="12" t="s">
        <v>12</v>
      </c>
      <c r="F158" s="12" t="s">
        <v>82</v>
      </c>
      <c r="G158" s="5" t="s">
        <v>139</v>
      </c>
      <c r="H158" s="6" t="s">
        <v>66</v>
      </c>
      <c r="I158" s="5" t="s">
        <v>49</v>
      </c>
      <c r="J158" s="6">
        <v>44993</v>
      </c>
      <c r="K158" s="18">
        <v>120</v>
      </c>
    </row>
    <row r="159" spans="1:11" s="4" customFormat="1" ht="153" x14ac:dyDescent="0.2">
      <c r="A159" s="12" t="s">
        <v>8</v>
      </c>
      <c r="B159" s="12" t="s">
        <v>107</v>
      </c>
      <c r="C159" s="12" t="s">
        <v>13</v>
      </c>
      <c r="D159" s="12">
        <v>351060185</v>
      </c>
      <c r="E159" s="12" t="s">
        <v>12</v>
      </c>
      <c r="F159" s="12" t="s">
        <v>82</v>
      </c>
      <c r="G159" s="5" t="s">
        <v>140</v>
      </c>
      <c r="H159" s="6" t="s">
        <v>141</v>
      </c>
      <c r="I159" s="12" t="s">
        <v>50</v>
      </c>
      <c r="J159" s="6">
        <v>45071</v>
      </c>
      <c r="K159" s="18">
        <v>420</v>
      </c>
    </row>
    <row r="160" spans="1:11" s="4" customFormat="1" ht="165.75" x14ac:dyDescent="0.2">
      <c r="A160" s="12" t="s">
        <v>8</v>
      </c>
      <c r="B160" s="12" t="s">
        <v>107</v>
      </c>
      <c r="C160" s="12" t="s">
        <v>13</v>
      </c>
      <c r="D160" s="12">
        <v>351054567</v>
      </c>
      <c r="E160" s="12" t="s">
        <v>12</v>
      </c>
      <c r="F160" s="12" t="s">
        <v>142</v>
      </c>
      <c r="G160" s="5" t="s">
        <v>143</v>
      </c>
      <c r="H160" s="6" t="s">
        <v>66</v>
      </c>
      <c r="I160" s="5" t="s">
        <v>49</v>
      </c>
      <c r="J160" s="6">
        <v>45006</v>
      </c>
      <c r="K160" s="18">
        <v>360</v>
      </c>
    </row>
    <row r="161" spans="1:11" s="4" customFormat="1" ht="63.75" x14ac:dyDescent="0.2">
      <c r="A161" s="12" t="s">
        <v>8</v>
      </c>
      <c r="B161" s="12" t="s">
        <v>107</v>
      </c>
      <c r="C161" s="12" t="s">
        <v>13</v>
      </c>
      <c r="D161" s="12">
        <v>351055968</v>
      </c>
      <c r="E161" s="12" t="s">
        <v>12</v>
      </c>
      <c r="F161" s="12" t="s">
        <v>142</v>
      </c>
      <c r="G161" s="5" t="s">
        <v>144</v>
      </c>
      <c r="H161" s="6" t="s">
        <v>134</v>
      </c>
      <c r="I161" s="12" t="s">
        <v>50</v>
      </c>
      <c r="J161" s="6">
        <v>45014</v>
      </c>
      <c r="K161" s="18">
        <v>118.5</v>
      </c>
    </row>
    <row r="162" spans="1:11" s="4" customFormat="1" ht="242.25" x14ac:dyDescent="0.2">
      <c r="A162" s="12" t="s">
        <v>8</v>
      </c>
      <c r="B162" s="12" t="s">
        <v>107</v>
      </c>
      <c r="C162" s="12" t="s">
        <v>13</v>
      </c>
      <c r="D162" s="12">
        <v>351054570</v>
      </c>
      <c r="E162" s="12" t="s">
        <v>12</v>
      </c>
      <c r="F162" s="5" t="s">
        <v>33</v>
      </c>
      <c r="G162" s="5" t="s">
        <v>147</v>
      </c>
      <c r="H162" s="6" t="s">
        <v>66</v>
      </c>
      <c r="I162" s="5" t="s">
        <v>49</v>
      </c>
      <c r="J162" s="6">
        <v>44965</v>
      </c>
      <c r="K162" s="18">
        <v>880</v>
      </c>
    </row>
    <row r="163" spans="1:11" s="4" customFormat="1" ht="318.75" x14ac:dyDescent="0.2">
      <c r="A163" s="12" t="s">
        <v>8</v>
      </c>
      <c r="B163" s="12" t="s">
        <v>107</v>
      </c>
      <c r="C163" s="12" t="s">
        <v>13</v>
      </c>
      <c r="D163" s="12">
        <v>351054570</v>
      </c>
      <c r="E163" s="12" t="s">
        <v>12</v>
      </c>
      <c r="F163" s="5" t="s">
        <v>33</v>
      </c>
      <c r="G163" s="5" t="s">
        <v>148</v>
      </c>
      <c r="H163" s="6" t="s">
        <v>66</v>
      </c>
      <c r="I163" s="12" t="s">
        <v>50</v>
      </c>
      <c r="J163" s="6">
        <v>44965</v>
      </c>
      <c r="K163" s="18">
        <v>880</v>
      </c>
    </row>
    <row r="164" spans="1:11" s="4" customFormat="1" ht="89.25" x14ac:dyDescent="0.2">
      <c r="A164" s="12" t="s">
        <v>8</v>
      </c>
      <c r="B164" s="12" t="s">
        <v>107</v>
      </c>
      <c r="C164" s="12" t="s">
        <v>13</v>
      </c>
      <c r="D164" s="12">
        <v>351060186</v>
      </c>
      <c r="E164" s="12" t="s">
        <v>12</v>
      </c>
      <c r="F164" s="5" t="s">
        <v>33</v>
      </c>
      <c r="G164" s="5" t="s">
        <v>149</v>
      </c>
      <c r="H164" s="6" t="s">
        <v>66</v>
      </c>
      <c r="I164" s="5" t="s">
        <v>49</v>
      </c>
      <c r="J164" s="6">
        <v>45076</v>
      </c>
      <c r="K164" s="18">
        <v>60</v>
      </c>
    </row>
    <row r="165" spans="1:11" s="4" customFormat="1" ht="153" x14ac:dyDescent="0.2">
      <c r="A165" s="12" t="s">
        <v>8</v>
      </c>
      <c r="B165" s="12" t="s">
        <v>107</v>
      </c>
      <c r="C165" s="12" t="s">
        <v>13</v>
      </c>
      <c r="D165" s="12">
        <v>351060186</v>
      </c>
      <c r="E165" s="12" t="s">
        <v>12</v>
      </c>
      <c r="F165" s="5" t="s">
        <v>33</v>
      </c>
      <c r="G165" s="5" t="s">
        <v>150</v>
      </c>
      <c r="H165" s="6" t="s">
        <v>66</v>
      </c>
      <c r="I165" s="12" t="s">
        <v>50</v>
      </c>
      <c r="J165" s="6">
        <v>45076</v>
      </c>
      <c r="K165" s="18">
        <v>87.5</v>
      </c>
    </row>
    <row r="166" spans="1:11" s="4" customFormat="1" ht="51" x14ac:dyDescent="0.2">
      <c r="A166" s="12" t="s">
        <v>8</v>
      </c>
      <c r="B166" s="12" t="s">
        <v>107</v>
      </c>
      <c r="C166" s="12" t="s">
        <v>13</v>
      </c>
      <c r="D166" s="12" t="s">
        <v>145</v>
      </c>
      <c r="E166" s="12" t="s">
        <v>12</v>
      </c>
      <c r="F166" s="5" t="s">
        <v>33</v>
      </c>
      <c r="G166" s="5" t="s">
        <v>152</v>
      </c>
      <c r="H166" s="6" t="s">
        <v>96</v>
      </c>
      <c r="I166" s="12" t="s">
        <v>50</v>
      </c>
      <c r="J166" s="6">
        <v>45161</v>
      </c>
      <c r="K166" s="18">
        <v>359.39</v>
      </c>
    </row>
    <row r="167" spans="1:11" s="4" customFormat="1" ht="102" x14ac:dyDescent="0.2">
      <c r="A167" s="12" t="s">
        <v>8</v>
      </c>
      <c r="B167" s="12" t="s">
        <v>107</v>
      </c>
      <c r="C167" s="12" t="s">
        <v>13</v>
      </c>
      <c r="D167" s="12" t="s">
        <v>145</v>
      </c>
      <c r="E167" s="12" t="s">
        <v>12</v>
      </c>
      <c r="F167" s="5" t="s">
        <v>33</v>
      </c>
      <c r="G167" s="5" t="s">
        <v>153</v>
      </c>
      <c r="H167" s="6" t="s">
        <v>157</v>
      </c>
      <c r="I167" s="12" t="s">
        <v>50</v>
      </c>
      <c r="J167" s="6">
        <v>45271</v>
      </c>
      <c r="K167" s="18">
        <v>236.64</v>
      </c>
    </row>
    <row r="168" spans="1:11" s="4" customFormat="1" ht="114.75" x14ac:dyDescent="0.2">
      <c r="A168" s="12" t="s">
        <v>8</v>
      </c>
      <c r="B168" s="12" t="s">
        <v>107</v>
      </c>
      <c r="C168" s="12" t="s">
        <v>13</v>
      </c>
      <c r="D168" s="12" t="s">
        <v>97</v>
      </c>
      <c r="E168" s="12" t="s">
        <v>12</v>
      </c>
      <c r="F168" s="5" t="s">
        <v>33</v>
      </c>
      <c r="G168" s="5" t="s">
        <v>156</v>
      </c>
      <c r="H168" s="6" t="s">
        <v>157</v>
      </c>
      <c r="I168" s="12" t="s">
        <v>50</v>
      </c>
      <c r="J168" s="6">
        <v>45279</v>
      </c>
      <c r="K168" s="18">
        <v>100.94</v>
      </c>
    </row>
    <row r="169" spans="1:11" s="4" customFormat="1" ht="114.75" x14ac:dyDescent="0.2">
      <c r="A169" s="12" t="s">
        <v>8</v>
      </c>
      <c r="B169" s="12" t="s">
        <v>107</v>
      </c>
      <c r="C169" s="12" t="s">
        <v>12</v>
      </c>
      <c r="D169" s="12">
        <v>351060178</v>
      </c>
      <c r="E169" s="12" t="s">
        <v>13</v>
      </c>
      <c r="F169" s="5" t="s">
        <v>45</v>
      </c>
      <c r="G169" s="5" t="s">
        <v>174</v>
      </c>
      <c r="H169" s="6" t="s">
        <v>289</v>
      </c>
      <c r="I169" s="12" t="s">
        <v>49</v>
      </c>
      <c r="J169" s="6">
        <v>45072</v>
      </c>
      <c r="K169" s="18">
        <v>450</v>
      </c>
    </row>
    <row r="170" spans="1:11" s="4" customFormat="1" ht="178.5" x14ac:dyDescent="0.2">
      <c r="A170" s="12" t="s">
        <v>8</v>
      </c>
      <c r="B170" s="12" t="s">
        <v>107</v>
      </c>
      <c r="C170" s="12" t="s">
        <v>12</v>
      </c>
      <c r="D170" s="12">
        <v>351060178</v>
      </c>
      <c r="E170" s="12" t="s">
        <v>13</v>
      </c>
      <c r="F170" s="5" t="s">
        <v>45</v>
      </c>
      <c r="G170" s="5" t="s">
        <v>158</v>
      </c>
      <c r="H170" s="6" t="s">
        <v>141</v>
      </c>
      <c r="I170" s="12" t="s">
        <v>50</v>
      </c>
      <c r="J170" s="6">
        <v>45071</v>
      </c>
      <c r="K170" s="18">
        <v>190</v>
      </c>
    </row>
    <row r="171" spans="1:11" s="4" customFormat="1" ht="216.75" x14ac:dyDescent="0.2">
      <c r="A171" s="12" t="s">
        <v>8</v>
      </c>
      <c r="B171" s="12" t="s">
        <v>107</v>
      </c>
      <c r="C171" s="12" t="s">
        <v>13</v>
      </c>
      <c r="D171" s="12">
        <v>351059207</v>
      </c>
      <c r="E171" s="12" t="s">
        <v>12</v>
      </c>
      <c r="F171" s="12" t="s">
        <v>161</v>
      </c>
      <c r="G171" s="5" t="s">
        <v>162</v>
      </c>
      <c r="H171" s="6" t="s">
        <v>289</v>
      </c>
      <c r="I171" s="12" t="s">
        <v>49</v>
      </c>
      <c r="J171" s="6">
        <v>45061</v>
      </c>
      <c r="K171" s="18">
        <v>1770</v>
      </c>
    </row>
    <row r="172" spans="1:11" s="4" customFormat="1" ht="63.75" x14ac:dyDescent="0.2">
      <c r="A172" s="12" t="s">
        <v>8</v>
      </c>
      <c r="B172" s="12" t="s">
        <v>107</v>
      </c>
      <c r="C172" s="12" t="s">
        <v>13</v>
      </c>
      <c r="D172" s="12">
        <v>351059208</v>
      </c>
      <c r="E172" s="12" t="s">
        <v>12</v>
      </c>
      <c r="F172" s="12" t="s">
        <v>161</v>
      </c>
      <c r="G172" s="5" t="s">
        <v>163</v>
      </c>
      <c r="H172" s="6" t="s">
        <v>289</v>
      </c>
      <c r="I172" s="12" t="s">
        <v>49</v>
      </c>
      <c r="J172" s="6">
        <v>45061</v>
      </c>
      <c r="K172" s="18">
        <v>720</v>
      </c>
    </row>
    <row r="173" spans="1:11" s="4" customFormat="1" ht="114.75" x14ac:dyDescent="0.2">
      <c r="A173" s="12" t="s">
        <v>8</v>
      </c>
      <c r="B173" s="12" t="s">
        <v>107</v>
      </c>
      <c r="C173" s="12" t="s">
        <v>13</v>
      </c>
      <c r="D173" s="12">
        <v>351060602</v>
      </c>
      <c r="E173" s="12" t="s">
        <v>12</v>
      </c>
      <c r="F173" s="12" t="s">
        <v>161</v>
      </c>
      <c r="G173" s="5" t="s">
        <v>164</v>
      </c>
      <c r="H173" s="6" t="s">
        <v>289</v>
      </c>
      <c r="I173" s="12" t="s">
        <v>50</v>
      </c>
      <c r="J173" s="6">
        <v>45072</v>
      </c>
      <c r="K173" s="18">
        <v>75</v>
      </c>
    </row>
    <row r="174" spans="1:11" s="4" customFormat="1" ht="153" x14ac:dyDescent="0.2">
      <c r="A174" s="12" t="s">
        <v>8</v>
      </c>
      <c r="B174" s="12" t="s">
        <v>107</v>
      </c>
      <c r="C174" s="12" t="s">
        <v>13</v>
      </c>
      <c r="D174" s="12">
        <v>351061437</v>
      </c>
      <c r="E174" s="12" t="s">
        <v>12</v>
      </c>
      <c r="F174" s="12" t="s">
        <v>161</v>
      </c>
      <c r="G174" s="5" t="s">
        <v>165</v>
      </c>
      <c r="H174" s="6" t="s">
        <v>289</v>
      </c>
      <c r="I174" s="12" t="s">
        <v>50</v>
      </c>
      <c r="J174" s="6">
        <v>45084</v>
      </c>
      <c r="K174" s="18">
        <v>1170</v>
      </c>
    </row>
    <row r="175" spans="1:11" s="4" customFormat="1" ht="140.25" x14ac:dyDescent="0.2">
      <c r="A175" s="12" t="s">
        <v>8</v>
      </c>
      <c r="B175" s="12" t="s">
        <v>107</v>
      </c>
      <c r="C175" s="12" t="s">
        <v>13</v>
      </c>
      <c r="D175" s="12" t="s">
        <v>159</v>
      </c>
      <c r="E175" s="12" t="s">
        <v>12</v>
      </c>
      <c r="F175" s="12" t="s">
        <v>161</v>
      </c>
      <c r="G175" s="12" t="s">
        <v>166</v>
      </c>
      <c r="H175" s="6" t="s">
        <v>289</v>
      </c>
      <c r="I175" s="12" t="s">
        <v>49</v>
      </c>
      <c r="J175" s="19">
        <v>45092</v>
      </c>
      <c r="K175" s="21">
        <v>240</v>
      </c>
    </row>
    <row r="176" spans="1:11" s="4" customFormat="1" ht="140.25" x14ac:dyDescent="0.2">
      <c r="A176" s="12" t="s">
        <v>8</v>
      </c>
      <c r="B176" s="12" t="s">
        <v>107</v>
      </c>
      <c r="C176" s="12" t="s">
        <v>13</v>
      </c>
      <c r="D176" s="12" t="s">
        <v>159</v>
      </c>
      <c r="E176" s="12" t="s">
        <v>12</v>
      </c>
      <c r="F176" s="12" t="s">
        <v>161</v>
      </c>
      <c r="G176" s="12" t="s">
        <v>167</v>
      </c>
      <c r="H176" s="6" t="s">
        <v>289</v>
      </c>
      <c r="I176" s="12" t="s">
        <v>50</v>
      </c>
      <c r="J176" s="19">
        <v>45092</v>
      </c>
      <c r="K176" s="21">
        <v>330</v>
      </c>
    </row>
    <row r="177" spans="1:11" s="4" customFormat="1" ht="153" x14ac:dyDescent="0.2">
      <c r="A177" s="12" t="s">
        <v>8</v>
      </c>
      <c r="B177" s="12" t="s">
        <v>107</v>
      </c>
      <c r="C177" s="12" t="s">
        <v>13</v>
      </c>
      <c r="D177" s="12">
        <v>351063764</v>
      </c>
      <c r="E177" s="12" t="s">
        <v>12</v>
      </c>
      <c r="F177" s="12" t="s">
        <v>161</v>
      </c>
      <c r="G177" s="5" t="s">
        <v>168</v>
      </c>
      <c r="H177" s="6" t="s">
        <v>289</v>
      </c>
      <c r="I177" s="12" t="s">
        <v>49</v>
      </c>
      <c r="J177" s="6">
        <v>45117</v>
      </c>
      <c r="K177" s="18">
        <v>30</v>
      </c>
    </row>
    <row r="178" spans="1:11" s="4" customFormat="1" ht="127.5" x14ac:dyDescent="0.2">
      <c r="A178" s="12" t="s">
        <v>8</v>
      </c>
      <c r="B178" s="12" t="s">
        <v>107</v>
      </c>
      <c r="C178" s="12" t="s">
        <v>13</v>
      </c>
      <c r="D178" s="12" t="s">
        <v>160</v>
      </c>
      <c r="E178" s="12" t="s">
        <v>12</v>
      </c>
      <c r="F178" s="12" t="s">
        <v>161</v>
      </c>
      <c r="G178" s="5" t="s">
        <v>169</v>
      </c>
      <c r="H178" s="6" t="s">
        <v>173</v>
      </c>
      <c r="I178" s="12" t="s">
        <v>50</v>
      </c>
      <c r="J178" s="6">
        <v>45119</v>
      </c>
      <c r="K178" s="18">
        <v>89</v>
      </c>
    </row>
    <row r="179" spans="1:11" s="4" customFormat="1" ht="178.5" x14ac:dyDescent="0.2">
      <c r="A179" s="12" t="s">
        <v>8</v>
      </c>
      <c r="B179" s="12" t="s">
        <v>107</v>
      </c>
      <c r="C179" s="12" t="s">
        <v>13</v>
      </c>
      <c r="D179" s="12">
        <v>351067195</v>
      </c>
      <c r="E179" s="12" t="s">
        <v>12</v>
      </c>
      <c r="F179" s="12" t="s">
        <v>161</v>
      </c>
      <c r="G179" s="5" t="s">
        <v>170</v>
      </c>
      <c r="H179" s="6" t="s">
        <v>173</v>
      </c>
      <c r="I179" s="12" t="s">
        <v>50</v>
      </c>
      <c r="J179" s="6">
        <v>45134</v>
      </c>
      <c r="K179" s="18">
        <v>592</v>
      </c>
    </row>
    <row r="180" spans="1:11" s="4" customFormat="1" ht="165.75" x14ac:dyDescent="0.2">
      <c r="A180" s="12" t="s">
        <v>8</v>
      </c>
      <c r="B180" s="12" t="s">
        <v>107</v>
      </c>
      <c r="C180" s="12" t="s">
        <v>13</v>
      </c>
      <c r="D180" s="12">
        <v>351067042</v>
      </c>
      <c r="E180" s="12" t="s">
        <v>12</v>
      </c>
      <c r="F180" s="12" t="s">
        <v>161</v>
      </c>
      <c r="G180" s="5" t="s">
        <v>171</v>
      </c>
      <c r="H180" s="6" t="s">
        <v>173</v>
      </c>
      <c r="I180" s="12" t="s">
        <v>50</v>
      </c>
      <c r="J180" s="6">
        <v>45148</v>
      </c>
      <c r="K180" s="18">
        <v>135</v>
      </c>
    </row>
    <row r="181" spans="1:11" s="4" customFormat="1" ht="102" x14ac:dyDescent="0.2">
      <c r="A181" s="12" t="s">
        <v>8</v>
      </c>
      <c r="B181" s="12" t="s">
        <v>107</v>
      </c>
      <c r="C181" s="12" t="s">
        <v>13</v>
      </c>
      <c r="D181" s="12">
        <v>351067194</v>
      </c>
      <c r="E181" s="12" t="s">
        <v>12</v>
      </c>
      <c r="F181" s="12" t="s">
        <v>161</v>
      </c>
      <c r="G181" s="5" t="s">
        <v>172</v>
      </c>
      <c r="H181" s="6" t="s">
        <v>289</v>
      </c>
      <c r="I181" s="12" t="s">
        <v>49</v>
      </c>
      <c r="J181" s="6">
        <v>45152</v>
      </c>
      <c r="K181" s="18">
        <v>65</v>
      </c>
    </row>
    <row r="182" spans="1:11" s="4" customFormat="1" ht="114.75" x14ac:dyDescent="0.2">
      <c r="A182" s="12" t="s">
        <v>8</v>
      </c>
      <c r="B182" s="12" t="s">
        <v>107</v>
      </c>
      <c r="C182" s="12" t="s">
        <v>12</v>
      </c>
      <c r="D182" s="12">
        <v>351068535</v>
      </c>
      <c r="E182" s="12" t="s">
        <v>13</v>
      </c>
      <c r="F182" s="12" t="s">
        <v>45</v>
      </c>
      <c r="G182" s="5" t="s">
        <v>175</v>
      </c>
      <c r="H182" s="6" t="s">
        <v>66</v>
      </c>
      <c r="I182" s="12" t="s">
        <v>49</v>
      </c>
      <c r="J182" s="6">
        <v>45168</v>
      </c>
      <c r="K182" s="18">
        <f>120+20</f>
        <v>140</v>
      </c>
    </row>
    <row r="183" spans="1:11" s="4" customFormat="1" ht="89.25" x14ac:dyDescent="0.2">
      <c r="A183" s="12" t="s">
        <v>8</v>
      </c>
      <c r="B183" s="12" t="s">
        <v>107</v>
      </c>
      <c r="C183" s="12" t="s">
        <v>12</v>
      </c>
      <c r="D183" s="12">
        <v>351068535</v>
      </c>
      <c r="E183" s="12" t="s">
        <v>13</v>
      </c>
      <c r="F183" s="12" t="s">
        <v>45</v>
      </c>
      <c r="G183" s="5" t="s">
        <v>176</v>
      </c>
      <c r="H183" s="6" t="s">
        <v>66</v>
      </c>
      <c r="I183" s="12" t="s">
        <v>50</v>
      </c>
      <c r="J183" s="6">
        <v>45168</v>
      </c>
      <c r="K183" s="18">
        <v>442</v>
      </c>
    </row>
    <row r="184" spans="1:11" s="4" customFormat="1" ht="76.5" x14ac:dyDescent="0.2">
      <c r="A184" s="12" t="s">
        <v>8</v>
      </c>
      <c r="B184" s="12" t="s">
        <v>107</v>
      </c>
      <c r="C184" s="12" t="s">
        <v>12</v>
      </c>
      <c r="D184" s="12">
        <v>351072126</v>
      </c>
      <c r="E184" s="12" t="s">
        <v>13</v>
      </c>
      <c r="F184" s="12" t="s">
        <v>45</v>
      </c>
      <c r="G184" s="5" t="s">
        <v>177</v>
      </c>
      <c r="H184" s="6" t="s">
        <v>289</v>
      </c>
      <c r="I184" s="12" t="s">
        <v>49</v>
      </c>
      <c r="J184" s="6">
        <v>45217</v>
      </c>
      <c r="K184" s="18">
        <v>65</v>
      </c>
    </row>
    <row r="185" spans="1:11" s="4" customFormat="1" ht="178.5" x14ac:dyDescent="0.2">
      <c r="A185" s="12" t="s">
        <v>8</v>
      </c>
      <c r="B185" s="12" t="s">
        <v>107</v>
      </c>
      <c r="C185" s="12" t="s">
        <v>12</v>
      </c>
      <c r="D185" s="12">
        <v>351072754</v>
      </c>
      <c r="E185" s="12" t="s">
        <v>13</v>
      </c>
      <c r="F185" s="12" t="s">
        <v>45</v>
      </c>
      <c r="G185" s="5" t="s">
        <v>178</v>
      </c>
      <c r="H185" s="6" t="s">
        <v>66</v>
      </c>
      <c r="I185" s="12" t="s">
        <v>49</v>
      </c>
      <c r="J185" s="6">
        <v>45224</v>
      </c>
      <c r="K185" s="18">
        <f>60+10+40</f>
        <v>110</v>
      </c>
    </row>
    <row r="186" spans="1:11" s="4" customFormat="1" ht="114.75" x14ac:dyDescent="0.2">
      <c r="A186" s="12" t="s">
        <v>8</v>
      </c>
      <c r="B186" s="12" t="s">
        <v>107</v>
      </c>
      <c r="C186" s="12" t="s">
        <v>12</v>
      </c>
      <c r="D186" s="12">
        <v>351072754</v>
      </c>
      <c r="E186" s="12" t="s">
        <v>13</v>
      </c>
      <c r="F186" s="12" t="s">
        <v>45</v>
      </c>
      <c r="G186" s="5" t="s">
        <v>179</v>
      </c>
      <c r="H186" s="6" t="s">
        <v>66</v>
      </c>
      <c r="I186" s="12" t="s">
        <v>50</v>
      </c>
      <c r="J186" s="6">
        <v>45224</v>
      </c>
      <c r="K186" s="18">
        <f>26.54*2+4.16</f>
        <v>57.239999999999995</v>
      </c>
    </row>
    <row r="187" spans="1:11" s="4" customFormat="1" ht="127.5" x14ac:dyDescent="0.2">
      <c r="A187" s="12" t="s">
        <v>8</v>
      </c>
      <c r="B187" s="12" t="s">
        <v>107</v>
      </c>
      <c r="C187" s="12" t="s">
        <v>12</v>
      </c>
      <c r="D187" s="12">
        <v>351072754</v>
      </c>
      <c r="E187" s="12" t="s">
        <v>13</v>
      </c>
      <c r="F187" s="12" t="s">
        <v>45</v>
      </c>
      <c r="G187" s="5" t="s">
        <v>180</v>
      </c>
      <c r="H187" s="6" t="s">
        <v>66</v>
      </c>
      <c r="I187" s="12" t="s">
        <v>50</v>
      </c>
      <c r="J187" s="6">
        <v>45224</v>
      </c>
      <c r="K187" s="18">
        <v>6.32</v>
      </c>
    </row>
    <row r="188" spans="1:11" s="4" customFormat="1" ht="165.75" x14ac:dyDescent="0.2">
      <c r="A188" s="12" t="s">
        <v>8</v>
      </c>
      <c r="B188" s="12" t="s">
        <v>107</v>
      </c>
      <c r="C188" s="12" t="s">
        <v>13</v>
      </c>
      <c r="D188" s="12">
        <v>351083736</v>
      </c>
      <c r="E188" s="12" t="s">
        <v>12</v>
      </c>
      <c r="F188" s="5" t="s">
        <v>181</v>
      </c>
      <c r="G188" s="5" t="s">
        <v>182</v>
      </c>
      <c r="H188" s="6" t="s">
        <v>289</v>
      </c>
      <c r="I188" s="12" t="s">
        <v>49</v>
      </c>
      <c r="J188" s="6">
        <v>45306</v>
      </c>
      <c r="K188" s="18">
        <v>1650</v>
      </c>
    </row>
    <row r="189" spans="1:11" s="4" customFormat="1" ht="204" x14ac:dyDescent="0.2">
      <c r="A189" s="12" t="s">
        <v>8</v>
      </c>
      <c r="B189" s="12" t="s">
        <v>107</v>
      </c>
      <c r="C189" s="12" t="s">
        <v>13</v>
      </c>
      <c r="D189" s="12">
        <v>351083736</v>
      </c>
      <c r="E189" s="12" t="s">
        <v>12</v>
      </c>
      <c r="F189" s="5" t="s">
        <v>181</v>
      </c>
      <c r="G189" s="5" t="s">
        <v>183</v>
      </c>
      <c r="H189" s="6" t="s">
        <v>289</v>
      </c>
      <c r="I189" s="12" t="s">
        <v>49</v>
      </c>
      <c r="J189" s="6">
        <v>45306</v>
      </c>
      <c r="K189" s="18">
        <v>3900</v>
      </c>
    </row>
    <row r="190" spans="1:11" s="4" customFormat="1" ht="127.5" x14ac:dyDescent="0.2">
      <c r="A190" s="12" t="s">
        <v>8</v>
      </c>
      <c r="B190" s="12" t="s">
        <v>107</v>
      </c>
      <c r="C190" s="12" t="s">
        <v>12</v>
      </c>
      <c r="D190" s="12" t="s">
        <v>279</v>
      </c>
      <c r="E190" s="12" t="s">
        <v>13</v>
      </c>
      <c r="F190" s="12" t="s">
        <v>280</v>
      </c>
      <c r="G190" s="5" t="s">
        <v>281</v>
      </c>
      <c r="H190" s="6" t="s">
        <v>66</v>
      </c>
      <c r="I190" s="5" t="s">
        <v>49</v>
      </c>
      <c r="J190" s="6">
        <v>45120</v>
      </c>
      <c r="K190" s="18">
        <v>380</v>
      </c>
    </row>
    <row r="191" spans="1:11" s="4" customFormat="1" ht="191.25" x14ac:dyDescent="0.2">
      <c r="A191" s="12" t="s">
        <v>8</v>
      </c>
      <c r="B191" s="12" t="s">
        <v>107</v>
      </c>
      <c r="C191" s="12" t="s">
        <v>12</v>
      </c>
      <c r="D191" s="12">
        <v>351080591</v>
      </c>
      <c r="E191" s="12" t="s">
        <v>13</v>
      </c>
      <c r="F191" s="12" t="s">
        <v>280</v>
      </c>
      <c r="G191" s="5" t="s">
        <v>282</v>
      </c>
      <c r="H191" s="6" t="s">
        <v>66</v>
      </c>
      <c r="I191" s="5" t="s">
        <v>49</v>
      </c>
      <c r="J191" s="6">
        <v>45302</v>
      </c>
      <c r="K191" s="18">
        <v>725</v>
      </c>
    </row>
    <row r="192" spans="1:11" s="4" customFormat="1" ht="153" x14ac:dyDescent="0.2">
      <c r="A192" s="12" t="s">
        <v>8</v>
      </c>
      <c r="B192" s="12" t="s">
        <v>107</v>
      </c>
      <c r="C192" s="12" t="s">
        <v>12</v>
      </c>
      <c r="D192" s="12">
        <v>351080588</v>
      </c>
      <c r="E192" s="12" t="s">
        <v>13</v>
      </c>
      <c r="F192" s="12" t="s">
        <v>280</v>
      </c>
      <c r="G192" s="5" t="s">
        <v>283</v>
      </c>
      <c r="H192" s="6" t="s">
        <v>66</v>
      </c>
      <c r="I192" s="5" t="s">
        <v>49</v>
      </c>
      <c r="J192" s="6">
        <v>45309</v>
      </c>
      <c r="K192" s="18">
        <v>30</v>
      </c>
    </row>
    <row r="193" spans="1:11" s="4" customFormat="1" ht="216.75" x14ac:dyDescent="0.2">
      <c r="A193" s="12" t="s">
        <v>8</v>
      </c>
      <c r="B193" s="12" t="s">
        <v>108</v>
      </c>
      <c r="C193" s="12" t="s">
        <v>12</v>
      </c>
      <c r="D193" s="12">
        <v>351107163</v>
      </c>
      <c r="E193" s="12" t="s">
        <v>13</v>
      </c>
      <c r="F193" s="12" t="s">
        <v>184</v>
      </c>
      <c r="G193" s="5" t="s">
        <v>185</v>
      </c>
      <c r="H193" s="6" t="s">
        <v>66</v>
      </c>
      <c r="I193" s="12" t="s">
        <v>49</v>
      </c>
      <c r="J193" s="6">
        <v>45609</v>
      </c>
      <c r="K193" s="18">
        <v>1000</v>
      </c>
    </row>
    <row r="194" spans="1:11" s="4" customFormat="1" ht="102" x14ac:dyDescent="0.2">
      <c r="A194" s="12" t="s">
        <v>8</v>
      </c>
      <c r="B194" s="12" t="s">
        <v>108</v>
      </c>
      <c r="C194" s="12" t="s">
        <v>13</v>
      </c>
      <c r="D194" s="12">
        <v>351068772</v>
      </c>
      <c r="E194" s="12" t="s">
        <v>12</v>
      </c>
      <c r="F194" s="12" t="s">
        <v>33</v>
      </c>
      <c r="G194" s="5" t="s">
        <v>151</v>
      </c>
      <c r="H194" s="6" t="s">
        <v>289</v>
      </c>
      <c r="I194" s="12" t="s">
        <v>49</v>
      </c>
      <c r="J194" s="6">
        <v>45156</v>
      </c>
      <c r="K194" s="18">
        <v>1040</v>
      </c>
    </row>
    <row r="195" spans="1:11" s="4" customFormat="1" ht="165.75" x14ac:dyDescent="0.2">
      <c r="A195" s="12" t="s">
        <v>8</v>
      </c>
      <c r="B195" s="12" t="s">
        <v>108</v>
      </c>
      <c r="C195" s="12" t="s">
        <v>13</v>
      </c>
      <c r="D195" s="12" t="s">
        <v>146</v>
      </c>
      <c r="E195" s="12" t="s">
        <v>12</v>
      </c>
      <c r="F195" s="12" t="s">
        <v>33</v>
      </c>
      <c r="G195" s="5" t="s">
        <v>154</v>
      </c>
      <c r="H195" s="6" t="s">
        <v>66</v>
      </c>
      <c r="I195" s="12" t="s">
        <v>49</v>
      </c>
      <c r="J195" s="6">
        <v>45267</v>
      </c>
      <c r="K195" s="18">
        <v>120</v>
      </c>
    </row>
    <row r="196" spans="1:11" s="4" customFormat="1" ht="114.75" x14ac:dyDescent="0.2">
      <c r="A196" s="12" t="s">
        <v>8</v>
      </c>
      <c r="B196" s="12" t="s">
        <v>108</v>
      </c>
      <c r="C196" s="12" t="s">
        <v>13</v>
      </c>
      <c r="D196" s="12" t="s">
        <v>146</v>
      </c>
      <c r="E196" s="12" t="s">
        <v>12</v>
      </c>
      <c r="F196" s="12" t="s">
        <v>33</v>
      </c>
      <c r="G196" s="5" t="s">
        <v>155</v>
      </c>
      <c r="H196" s="6" t="s">
        <v>66</v>
      </c>
      <c r="I196" s="12" t="s">
        <v>50</v>
      </c>
      <c r="J196" s="6">
        <v>45267</v>
      </c>
      <c r="K196" s="18">
        <v>100.34</v>
      </c>
    </row>
    <row r="197" spans="1:11" s="4" customFormat="1" ht="153" x14ac:dyDescent="0.2">
      <c r="A197" s="12" t="s">
        <v>8</v>
      </c>
      <c r="B197" s="12" t="s">
        <v>108</v>
      </c>
      <c r="C197" s="12" t="s">
        <v>12</v>
      </c>
      <c r="D197" s="12" t="s">
        <v>136</v>
      </c>
      <c r="E197" s="12" t="s">
        <v>13</v>
      </c>
      <c r="F197" s="12" t="s">
        <v>45</v>
      </c>
      <c r="G197" s="5" t="s">
        <v>123</v>
      </c>
      <c r="H197" s="6" t="s">
        <v>289</v>
      </c>
      <c r="I197" s="5" t="s">
        <v>49</v>
      </c>
      <c r="J197" s="6">
        <v>45217</v>
      </c>
      <c r="K197" s="18">
        <v>520</v>
      </c>
    </row>
    <row r="198" spans="1:11" s="4" customFormat="1" ht="140.25" x14ac:dyDescent="0.2">
      <c r="A198" s="12" t="s">
        <v>8</v>
      </c>
      <c r="B198" s="12" t="s">
        <v>108</v>
      </c>
      <c r="C198" s="12" t="s">
        <v>12</v>
      </c>
      <c r="D198" s="12">
        <v>351083785</v>
      </c>
      <c r="E198" s="12" t="s">
        <v>13</v>
      </c>
      <c r="F198" s="12" t="s">
        <v>45</v>
      </c>
      <c r="G198" s="5" t="s">
        <v>128</v>
      </c>
      <c r="H198" s="6" t="s">
        <v>66</v>
      </c>
      <c r="I198" s="5" t="s">
        <v>49</v>
      </c>
      <c r="J198" s="6">
        <v>45322</v>
      </c>
      <c r="K198" s="18">
        <v>400</v>
      </c>
    </row>
    <row r="199" spans="1:11" s="4" customFormat="1" ht="255" x14ac:dyDescent="0.2">
      <c r="A199" s="12" t="s">
        <v>8</v>
      </c>
      <c r="B199" s="12" t="s">
        <v>108</v>
      </c>
      <c r="C199" s="12" t="s">
        <v>12</v>
      </c>
      <c r="D199" s="12">
        <v>351083785</v>
      </c>
      <c r="E199" s="12" t="s">
        <v>13</v>
      </c>
      <c r="F199" s="12" t="s">
        <v>45</v>
      </c>
      <c r="G199" s="5" t="s">
        <v>129</v>
      </c>
      <c r="H199" s="6" t="s">
        <v>66</v>
      </c>
      <c r="I199" s="5" t="s">
        <v>50</v>
      </c>
      <c r="J199" s="6">
        <v>45341</v>
      </c>
      <c r="K199" s="18">
        <v>766.86</v>
      </c>
    </row>
    <row r="200" spans="1:11" s="4" customFormat="1" ht="255" x14ac:dyDescent="0.2">
      <c r="A200" s="12" t="s">
        <v>8</v>
      </c>
      <c r="B200" s="12" t="s">
        <v>108</v>
      </c>
      <c r="C200" s="12" t="s">
        <v>12</v>
      </c>
      <c r="D200" s="12">
        <v>351083785</v>
      </c>
      <c r="E200" s="12" t="s">
        <v>13</v>
      </c>
      <c r="F200" s="12" t="s">
        <v>45</v>
      </c>
      <c r="G200" s="5" t="s">
        <v>130</v>
      </c>
      <c r="H200" s="6" t="s">
        <v>66</v>
      </c>
      <c r="I200" s="5" t="s">
        <v>50</v>
      </c>
      <c r="J200" s="6">
        <v>45341</v>
      </c>
      <c r="K200" s="18">
        <v>407.25</v>
      </c>
    </row>
    <row r="201" spans="1:11" s="4" customFormat="1" ht="229.5" x14ac:dyDescent="0.2">
      <c r="A201" s="12" t="s">
        <v>8</v>
      </c>
      <c r="B201" s="12" t="s">
        <v>108</v>
      </c>
      <c r="C201" s="12" t="s">
        <v>12</v>
      </c>
      <c r="D201" s="12" t="s">
        <v>186</v>
      </c>
      <c r="E201" s="12" t="s">
        <v>13</v>
      </c>
      <c r="F201" s="12" t="s">
        <v>45</v>
      </c>
      <c r="G201" s="5" t="s">
        <v>191</v>
      </c>
      <c r="H201" s="6" t="s">
        <v>66</v>
      </c>
      <c r="I201" s="5" t="s">
        <v>49</v>
      </c>
      <c r="J201" s="6">
        <v>45527</v>
      </c>
      <c r="K201" s="18">
        <v>840</v>
      </c>
    </row>
    <row r="202" spans="1:11" s="4" customFormat="1" ht="178.5" x14ac:dyDescent="0.2">
      <c r="A202" s="12" t="s">
        <v>8</v>
      </c>
      <c r="B202" s="12" t="s">
        <v>108</v>
      </c>
      <c r="C202" s="12" t="s">
        <v>12</v>
      </c>
      <c r="D202" s="12" t="s">
        <v>186</v>
      </c>
      <c r="E202" s="12" t="s">
        <v>13</v>
      </c>
      <c r="F202" s="12" t="s">
        <v>45</v>
      </c>
      <c r="G202" s="5" t="s">
        <v>192</v>
      </c>
      <c r="H202" s="6" t="s">
        <v>66</v>
      </c>
      <c r="I202" s="5" t="s">
        <v>49</v>
      </c>
      <c r="J202" s="6">
        <v>45527</v>
      </c>
      <c r="K202" s="18">
        <v>420</v>
      </c>
    </row>
    <row r="203" spans="1:11" s="4" customFormat="1" ht="102" x14ac:dyDescent="0.2">
      <c r="A203" s="12" t="s">
        <v>8</v>
      </c>
      <c r="B203" s="12" t="s">
        <v>108</v>
      </c>
      <c r="C203" s="12" t="s">
        <v>12</v>
      </c>
      <c r="D203" s="12" t="s">
        <v>186</v>
      </c>
      <c r="E203" s="12" t="s">
        <v>13</v>
      </c>
      <c r="F203" s="12" t="s">
        <v>45</v>
      </c>
      <c r="G203" s="5" t="s">
        <v>193</v>
      </c>
      <c r="H203" s="6" t="s">
        <v>66</v>
      </c>
      <c r="I203" s="5" t="s">
        <v>50</v>
      </c>
      <c r="J203" s="6">
        <v>45527</v>
      </c>
      <c r="K203" s="18">
        <v>122.6</v>
      </c>
    </row>
    <row r="204" spans="1:11" s="4" customFormat="1" ht="153" x14ac:dyDescent="0.2">
      <c r="A204" s="12" t="s">
        <v>8</v>
      </c>
      <c r="B204" s="12" t="s">
        <v>108</v>
      </c>
      <c r="C204" s="12" t="s">
        <v>12</v>
      </c>
      <c r="D204" s="12">
        <v>351097494</v>
      </c>
      <c r="E204" s="12" t="s">
        <v>13</v>
      </c>
      <c r="F204" s="12" t="s">
        <v>45</v>
      </c>
      <c r="G204" s="5" t="s">
        <v>194</v>
      </c>
      <c r="H204" s="6" t="s">
        <v>66</v>
      </c>
      <c r="I204" s="5" t="s">
        <v>49</v>
      </c>
      <c r="J204" s="6">
        <v>45547</v>
      </c>
      <c r="K204" s="18">
        <v>273</v>
      </c>
    </row>
    <row r="205" spans="1:11" s="4" customFormat="1" ht="191.25" x14ac:dyDescent="0.2">
      <c r="A205" s="12" t="s">
        <v>8</v>
      </c>
      <c r="B205" s="12" t="s">
        <v>108</v>
      </c>
      <c r="C205" s="12" t="s">
        <v>12</v>
      </c>
      <c r="D205" s="12">
        <v>351097494</v>
      </c>
      <c r="E205" s="12" t="s">
        <v>13</v>
      </c>
      <c r="F205" s="12" t="s">
        <v>45</v>
      </c>
      <c r="G205" s="5" t="s">
        <v>195</v>
      </c>
      <c r="H205" s="6" t="s">
        <v>66</v>
      </c>
      <c r="I205" s="5" t="s">
        <v>50</v>
      </c>
      <c r="J205" s="6">
        <v>45547</v>
      </c>
      <c r="K205" s="18">
        <v>685</v>
      </c>
    </row>
    <row r="206" spans="1:11" s="4" customFormat="1" ht="76.5" x14ac:dyDescent="0.2">
      <c r="A206" s="12" t="s">
        <v>8</v>
      </c>
      <c r="B206" s="12" t="s">
        <v>108</v>
      </c>
      <c r="C206" s="12" t="s">
        <v>12</v>
      </c>
      <c r="D206" s="12">
        <v>351098286</v>
      </c>
      <c r="E206" s="12" t="s">
        <v>13</v>
      </c>
      <c r="F206" s="12" t="s">
        <v>45</v>
      </c>
      <c r="G206" s="5" t="s">
        <v>196</v>
      </c>
      <c r="H206" s="6" t="s">
        <v>66</v>
      </c>
      <c r="I206" s="5" t="s">
        <v>49</v>
      </c>
      <c r="J206" s="6">
        <v>45624</v>
      </c>
      <c r="K206" s="18">
        <v>42</v>
      </c>
    </row>
    <row r="207" spans="1:11" s="4" customFormat="1" ht="293.25" x14ac:dyDescent="0.2">
      <c r="A207" s="12" t="s">
        <v>8</v>
      </c>
      <c r="B207" s="12" t="s">
        <v>108</v>
      </c>
      <c r="C207" s="12" t="s">
        <v>12</v>
      </c>
      <c r="D207" s="12">
        <v>351098286</v>
      </c>
      <c r="E207" s="12" t="s">
        <v>13</v>
      </c>
      <c r="F207" s="12" t="s">
        <v>45</v>
      </c>
      <c r="G207" s="5" t="s">
        <v>197</v>
      </c>
      <c r="H207" s="6" t="s">
        <v>66</v>
      </c>
      <c r="I207" s="5" t="s">
        <v>49</v>
      </c>
      <c r="J207" s="6">
        <v>45624</v>
      </c>
      <c r="K207" s="18">
        <v>315</v>
      </c>
    </row>
    <row r="208" spans="1:11" s="4" customFormat="1" ht="165.75" x14ac:dyDescent="0.2">
      <c r="A208" s="12" t="s">
        <v>8</v>
      </c>
      <c r="B208" s="12" t="s">
        <v>108</v>
      </c>
      <c r="C208" s="12" t="s">
        <v>12</v>
      </c>
      <c r="D208" s="12">
        <v>351098286</v>
      </c>
      <c r="E208" s="12" t="s">
        <v>13</v>
      </c>
      <c r="F208" s="12" t="s">
        <v>45</v>
      </c>
      <c r="G208" s="5" t="s">
        <v>198</v>
      </c>
      <c r="H208" s="6" t="s">
        <v>66</v>
      </c>
      <c r="I208" s="5" t="s">
        <v>49</v>
      </c>
      <c r="J208" s="6">
        <v>45624</v>
      </c>
      <c r="K208" s="18">
        <v>500</v>
      </c>
    </row>
    <row r="209" spans="1:11" s="4" customFormat="1" ht="89.25" x14ac:dyDescent="0.2">
      <c r="A209" s="12" t="s">
        <v>8</v>
      </c>
      <c r="B209" s="12" t="s">
        <v>108</v>
      </c>
      <c r="C209" s="12" t="s">
        <v>12</v>
      </c>
      <c r="D209" s="12" t="s">
        <v>187</v>
      </c>
      <c r="E209" s="12" t="s">
        <v>13</v>
      </c>
      <c r="F209" s="12" t="s">
        <v>45</v>
      </c>
      <c r="G209" s="5" t="s">
        <v>199</v>
      </c>
      <c r="H209" s="6" t="s">
        <v>66</v>
      </c>
      <c r="I209" s="5" t="s">
        <v>49</v>
      </c>
      <c r="J209" s="6">
        <v>45624</v>
      </c>
      <c r="K209" s="18">
        <v>40</v>
      </c>
    </row>
    <row r="210" spans="1:11" s="4" customFormat="1" ht="114.75" x14ac:dyDescent="0.2">
      <c r="A210" s="12" t="s">
        <v>8</v>
      </c>
      <c r="B210" s="12" t="s">
        <v>108</v>
      </c>
      <c r="C210" s="12" t="s">
        <v>12</v>
      </c>
      <c r="D210" s="12" t="s">
        <v>188</v>
      </c>
      <c r="E210" s="12" t="s">
        <v>13</v>
      </c>
      <c r="F210" s="12" t="s">
        <v>45</v>
      </c>
      <c r="G210" s="5" t="s">
        <v>200</v>
      </c>
      <c r="H210" s="6" t="s">
        <v>66</v>
      </c>
      <c r="I210" s="5" t="s">
        <v>50</v>
      </c>
      <c r="J210" s="6">
        <v>45635</v>
      </c>
      <c r="K210" s="18">
        <v>172.77</v>
      </c>
    </row>
    <row r="211" spans="1:11" s="4" customFormat="1" ht="229.5" x14ac:dyDescent="0.2">
      <c r="A211" s="12" t="s">
        <v>8</v>
      </c>
      <c r="B211" s="12" t="s">
        <v>108</v>
      </c>
      <c r="C211" s="12" t="s">
        <v>12</v>
      </c>
      <c r="D211" s="12">
        <v>351100307</v>
      </c>
      <c r="E211" s="12" t="s">
        <v>13</v>
      </c>
      <c r="F211" s="12" t="s">
        <v>45</v>
      </c>
      <c r="G211" s="5" t="s">
        <v>201</v>
      </c>
      <c r="H211" s="6" t="s">
        <v>66</v>
      </c>
      <c r="I211" s="5" t="s">
        <v>50</v>
      </c>
      <c r="J211" s="6">
        <v>45527</v>
      </c>
      <c r="K211" s="18">
        <v>82.3</v>
      </c>
    </row>
    <row r="212" spans="1:11" s="4" customFormat="1" ht="63.75" x14ac:dyDescent="0.2">
      <c r="A212" s="12" t="s">
        <v>8</v>
      </c>
      <c r="B212" s="12" t="s">
        <v>108</v>
      </c>
      <c r="C212" s="12" t="s">
        <v>12</v>
      </c>
      <c r="D212" s="12" t="s">
        <v>189</v>
      </c>
      <c r="E212" s="12" t="s">
        <v>13</v>
      </c>
      <c r="F212" s="12" t="s">
        <v>45</v>
      </c>
      <c r="G212" s="5" t="s">
        <v>202</v>
      </c>
      <c r="H212" s="6" t="s">
        <v>289</v>
      </c>
      <c r="I212" s="5" t="s">
        <v>49</v>
      </c>
      <c r="J212" s="6">
        <v>45457</v>
      </c>
      <c r="K212" s="18">
        <v>295</v>
      </c>
    </row>
    <row r="213" spans="1:11" s="4" customFormat="1" ht="178.5" x14ac:dyDescent="0.2">
      <c r="A213" s="12" t="s">
        <v>8</v>
      </c>
      <c r="B213" s="12" t="s">
        <v>108</v>
      </c>
      <c r="C213" s="12" t="s">
        <v>12</v>
      </c>
      <c r="D213" s="12" t="s">
        <v>190</v>
      </c>
      <c r="E213" s="12" t="s">
        <v>13</v>
      </c>
      <c r="F213" s="12" t="s">
        <v>45</v>
      </c>
      <c r="G213" s="5" t="s">
        <v>203</v>
      </c>
      <c r="H213" s="6" t="s">
        <v>205</v>
      </c>
      <c r="I213" s="5" t="s">
        <v>50</v>
      </c>
      <c r="J213" s="6">
        <v>45460</v>
      </c>
      <c r="K213" s="18">
        <v>338.77</v>
      </c>
    </row>
    <row r="214" spans="1:11" s="4" customFormat="1" ht="127.5" x14ac:dyDescent="0.2">
      <c r="A214" s="12" t="s">
        <v>8</v>
      </c>
      <c r="B214" s="12" t="s">
        <v>108</v>
      </c>
      <c r="C214" s="12" t="s">
        <v>12</v>
      </c>
      <c r="D214" s="12">
        <v>351101376</v>
      </c>
      <c r="E214" s="12" t="s">
        <v>13</v>
      </c>
      <c r="F214" s="12" t="s">
        <v>45</v>
      </c>
      <c r="G214" s="5" t="s">
        <v>204</v>
      </c>
      <c r="H214" s="6" t="s">
        <v>66</v>
      </c>
      <c r="I214" s="5" t="s">
        <v>49</v>
      </c>
      <c r="J214" s="6">
        <v>45475</v>
      </c>
      <c r="K214" s="18">
        <v>918</v>
      </c>
    </row>
    <row r="215" spans="1:11" s="4" customFormat="1" ht="76.5" x14ac:dyDescent="0.2">
      <c r="A215" s="12" t="s">
        <v>8</v>
      </c>
      <c r="B215" s="12" t="s">
        <v>108</v>
      </c>
      <c r="C215" s="12" t="s">
        <v>13</v>
      </c>
      <c r="D215" s="12">
        <v>351090177</v>
      </c>
      <c r="E215" s="12" t="s">
        <v>12</v>
      </c>
      <c r="F215" s="5" t="s">
        <v>290</v>
      </c>
      <c r="G215" s="5" t="s">
        <v>209</v>
      </c>
      <c r="H215" s="6" t="s">
        <v>289</v>
      </c>
      <c r="I215" s="5" t="s">
        <v>49</v>
      </c>
      <c r="J215" s="6">
        <v>45422</v>
      </c>
      <c r="K215" s="18">
        <v>780</v>
      </c>
    </row>
    <row r="216" spans="1:11" s="4" customFormat="1" ht="63.75" x14ac:dyDescent="0.2">
      <c r="A216" s="12" t="s">
        <v>8</v>
      </c>
      <c r="B216" s="12" t="s">
        <v>108</v>
      </c>
      <c r="C216" s="12" t="s">
        <v>13</v>
      </c>
      <c r="D216" s="12">
        <v>351091823</v>
      </c>
      <c r="E216" s="12" t="s">
        <v>12</v>
      </c>
      <c r="F216" s="5" t="s">
        <v>290</v>
      </c>
      <c r="G216" s="5" t="s">
        <v>210</v>
      </c>
      <c r="H216" s="6" t="s">
        <v>289</v>
      </c>
      <c r="I216" s="5" t="s">
        <v>49</v>
      </c>
      <c r="J216" s="6">
        <v>45403</v>
      </c>
      <c r="K216" s="18">
        <v>75</v>
      </c>
    </row>
    <row r="217" spans="1:11" s="4" customFormat="1" ht="51" x14ac:dyDescent="0.2">
      <c r="A217" s="12" t="s">
        <v>8</v>
      </c>
      <c r="B217" s="12" t="s">
        <v>108</v>
      </c>
      <c r="C217" s="12" t="s">
        <v>13</v>
      </c>
      <c r="D217" s="12">
        <v>351091823</v>
      </c>
      <c r="E217" s="12" t="s">
        <v>12</v>
      </c>
      <c r="F217" s="5" t="s">
        <v>290</v>
      </c>
      <c r="G217" s="5" t="s">
        <v>211</v>
      </c>
      <c r="H217" s="6" t="s">
        <v>289</v>
      </c>
      <c r="I217" s="5" t="s">
        <v>49</v>
      </c>
      <c r="J217" s="6">
        <v>45403</v>
      </c>
      <c r="K217" s="18">
        <v>75</v>
      </c>
    </row>
    <row r="218" spans="1:11" s="4" customFormat="1" ht="89.25" x14ac:dyDescent="0.2">
      <c r="A218" s="12" t="s">
        <v>8</v>
      </c>
      <c r="B218" s="12" t="s">
        <v>108</v>
      </c>
      <c r="C218" s="12" t="s">
        <v>13</v>
      </c>
      <c r="D218" s="12">
        <v>351091823</v>
      </c>
      <c r="E218" s="12" t="s">
        <v>12</v>
      </c>
      <c r="F218" s="5" t="s">
        <v>290</v>
      </c>
      <c r="G218" s="5" t="s">
        <v>212</v>
      </c>
      <c r="H218" s="6" t="s">
        <v>289</v>
      </c>
      <c r="I218" s="5" t="s">
        <v>49</v>
      </c>
      <c r="J218" s="6">
        <v>45403</v>
      </c>
      <c r="K218" s="18">
        <v>75</v>
      </c>
    </row>
    <row r="219" spans="1:11" s="4" customFormat="1" ht="51" x14ac:dyDescent="0.2">
      <c r="A219" s="12" t="s">
        <v>8</v>
      </c>
      <c r="B219" s="12" t="s">
        <v>108</v>
      </c>
      <c r="C219" s="12" t="s">
        <v>13</v>
      </c>
      <c r="D219" s="12">
        <v>351091823</v>
      </c>
      <c r="E219" s="12" t="s">
        <v>12</v>
      </c>
      <c r="F219" s="5" t="s">
        <v>290</v>
      </c>
      <c r="G219" s="5" t="s">
        <v>213</v>
      </c>
      <c r="H219" s="6" t="s">
        <v>289</v>
      </c>
      <c r="I219" s="5" t="s">
        <v>49</v>
      </c>
      <c r="J219" s="6">
        <v>45403</v>
      </c>
      <c r="K219" s="18">
        <v>75</v>
      </c>
    </row>
    <row r="220" spans="1:11" s="4" customFormat="1" ht="51" x14ac:dyDescent="0.2">
      <c r="A220" s="12" t="s">
        <v>8</v>
      </c>
      <c r="B220" s="12" t="s">
        <v>108</v>
      </c>
      <c r="C220" s="12" t="s">
        <v>13</v>
      </c>
      <c r="D220" s="12">
        <v>351091823</v>
      </c>
      <c r="E220" s="12" t="s">
        <v>12</v>
      </c>
      <c r="F220" s="5" t="s">
        <v>290</v>
      </c>
      <c r="G220" s="5" t="s">
        <v>214</v>
      </c>
      <c r="H220" s="6" t="s">
        <v>289</v>
      </c>
      <c r="I220" s="5" t="s">
        <v>49</v>
      </c>
      <c r="J220" s="6">
        <v>45403</v>
      </c>
      <c r="K220" s="18">
        <v>75</v>
      </c>
    </row>
    <row r="221" spans="1:11" s="4" customFormat="1" ht="63.75" x14ac:dyDescent="0.2">
      <c r="A221" s="12" t="s">
        <v>8</v>
      </c>
      <c r="B221" s="12" t="s">
        <v>108</v>
      </c>
      <c r="C221" s="12" t="s">
        <v>13</v>
      </c>
      <c r="D221" s="12">
        <v>351091823</v>
      </c>
      <c r="E221" s="12" t="s">
        <v>12</v>
      </c>
      <c r="F221" s="5" t="s">
        <v>290</v>
      </c>
      <c r="G221" s="5" t="s">
        <v>215</v>
      </c>
      <c r="H221" s="6" t="s">
        <v>289</v>
      </c>
      <c r="I221" s="5" t="s">
        <v>49</v>
      </c>
      <c r="J221" s="6">
        <v>45403</v>
      </c>
      <c r="K221" s="18">
        <v>75</v>
      </c>
    </row>
    <row r="222" spans="1:11" s="4" customFormat="1" ht="38.25" x14ac:dyDescent="0.2">
      <c r="A222" s="12" t="s">
        <v>8</v>
      </c>
      <c r="B222" s="12" t="s">
        <v>108</v>
      </c>
      <c r="C222" s="12" t="s">
        <v>13</v>
      </c>
      <c r="D222" s="12">
        <v>351091823</v>
      </c>
      <c r="E222" s="12" t="s">
        <v>12</v>
      </c>
      <c r="F222" s="5" t="s">
        <v>290</v>
      </c>
      <c r="G222" s="5" t="s">
        <v>216</v>
      </c>
      <c r="H222" s="6" t="s">
        <v>289</v>
      </c>
      <c r="I222" s="5" t="s">
        <v>49</v>
      </c>
      <c r="J222" s="6">
        <v>45403</v>
      </c>
      <c r="K222" s="18">
        <v>75</v>
      </c>
    </row>
    <row r="223" spans="1:11" s="4" customFormat="1" ht="63.75" x14ac:dyDescent="0.2">
      <c r="A223" s="12" t="s">
        <v>8</v>
      </c>
      <c r="B223" s="12" t="s">
        <v>108</v>
      </c>
      <c r="C223" s="12" t="s">
        <v>13</v>
      </c>
      <c r="D223" s="12">
        <v>351091823</v>
      </c>
      <c r="E223" s="12" t="s">
        <v>12</v>
      </c>
      <c r="F223" s="5" t="s">
        <v>290</v>
      </c>
      <c r="G223" s="5" t="s">
        <v>217</v>
      </c>
      <c r="H223" s="6" t="s">
        <v>289</v>
      </c>
      <c r="I223" s="5" t="s">
        <v>49</v>
      </c>
      <c r="J223" s="6">
        <v>45403</v>
      </c>
      <c r="K223" s="18">
        <v>75</v>
      </c>
    </row>
    <row r="224" spans="1:11" s="4" customFormat="1" ht="63.75" x14ac:dyDescent="0.2">
      <c r="A224" s="12" t="s">
        <v>8</v>
      </c>
      <c r="B224" s="12" t="s">
        <v>108</v>
      </c>
      <c r="C224" s="12" t="s">
        <v>13</v>
      </c>
      <c r="D224" s="12">
        <v>351091824</v>
      </c>
      <c r="E224" s="12" t="s">
        <v>12</v>
      </c>
      <c r="F224" s="5" t="s">
        <v>290</v>
      </c>
      <c r="G224" s="5" t="s">
        <v>218</v>
      </c>
      <c r="H224" s="6" t="s">
        <v>289</v>
      </c>
      <c r="I224" s="5" t="s">
        <v>49</v>
      </c>
      <c r="J224" s="6">
        <v>45403</v>
      </c>
      <c r="K224" s="18">
        <v>780</v>
      </c>
    </row>
    <row r="225" spans="1:11" s="4" customFormat="1" ht="114.75" x14ac:dyDescent="0.2">
      <c r="A225" s="12" t="s">
        <v>8</v>
      </c>
      <c r="B225" s="12" t="s">
        <v>108</v>
      </c>
      <c r="C225" s="12" t="s">
        <v>13</v>
      </c>
      <c r="D225" s="12">
        <v>351093246</v>
      </c>
      <c r="E225" s="12" t="s">
        <v>12</v>
      </c>
      <c r="F225" s="5" t="s">
        <v>290</v>
      </c>
      <c r="G225" s="5" t="s">
        <v>219</v>
      </c>
      <c r="H225" s="6" t="s">
        <v>289</v>
      </c>
      <c r="I225" s="5" t="s">
        <v>50</v>
      </c>
      <c r="J225" s="6">
        <v>45447</v>
      </c>
      <c r="K225" s="18">
        <v>85</v>
      </c>
    </row>
    <row r="226" spans="1:11" s="4" customFormat="1" ht="114.75" x14ac:dyDescent="0.2">
      <c r="A226" s="12" t="s">
        <v>8</v>
      </c>
      <c r="B226" s="12" t="s">
        <v>108</v>
      </c>
      <c r="C226" s="12" t="s">
        <v>13</v>
      </c>
      <c r="D226" s="12">
        <v>351093246</v>
      </c>
      <c r="E226" s="12" t="s">
        <v>12</v>
      </c>
      <c r="F226" s="5" t="s">
        <v>290</v>
      </c>
      <c r="G226" s="5" t="s">
        <v>220</v>
      </c>
      <c r="H226" s="6" t="s">
        <v>289</v>
      </c>
      <c r="I226" s="5" t="s">
        <v>50</v>
      </c>
      <c r="J226" s="6">
        <v>45447</v>
      </c>
      <c r="K226" s="18">
        <v>125</v>
      </c>
    </row>
    <row r="227" spans="1:11" s="4" customFormat="1" ht="114.75" x14ac:dyDescent="0.2">
      <c r="A227" s="12" t="s">
        <v>8</v>
      </c>
      <c r="B227" s="12" t="s">
        <v>108</v>
      </c>
      <c r="C227" s="12" t="s">
        <v>13</v>
      </c>
      <c r="D227" s="12">
        <v>351093246</v>
      </c>
      <c r="E227" s="12" t="s">
        <v>12</v>
      </c>
      <c r="F227" s="5" t="s">
        <v>290</v>
      </c>
      <c r="G227" s="5" t="s">
        <v>221</v>
      </c>
      <c r="H227" s="6" t="s">
        <v>289</v>
      </c>
      <c r="I227" s="5" t="s">
        <v>50</v>
      </c>
      <c r="J227" s="6">
        <v>45447</v>
      </c>
      <c r="K227" s="18">
        <v>90</v>
      </c>
    </row>
    <row r="228" spans="1:11" s="4" customFormat="1" ht="114.75" x14ac:dyDescent="0.2">
      <c r="A228" s="12" t="s">
        <v>8</v>
      </c>
      <c r="B228" s="12" t="s">
        <v>108</v>
      </c>
      <c r="C228" s="12" t="s">
        <v>13</v>
      </c>
      <c r="D228" s="12">
        <v>351093246</v>
      </c>
      <c r="E228" s="12" t="s">
        <v>12</v>
      </c>
      <c r="F228" s="5" t="s">
        <v>290</v>
      </c>
      <c r="G228" s="5" t="s">
        <v>222</v>
      </c>
      <c r="H228" s="6" t="s">
        <v>289</v>
      </c>
      <c r="I228" s="5" t="s">
        <v>50</v>
      </c>
      <c r="J228" s="6">
        <v>45447</v>
      </c>
      <c r="K228" s="18">
        <v>350</v>
      </c>
    </row>
    <row r="229" spans="1:11" s="4" customFormat="1" ht="191.25" x14ac:dyDescent="0.2">
      <c r="A229" s="12" t="s">
        <v>8</v>
      </c>
      <c r="B229" s="12" t="s">
        <v>108</v>
      </c>
      <c r="C229" s="12" t="s">
        <v>13</v>
      </c>
      <c r="D229" s="12">
        <v>351094009</v>
      </c>
      <c r="E229" s="12" t="s">
        <v>12</v>
      </c>
      <c r="F229" s="5" t="s">
        <v>290</v>
      </c>
      <c r="G229" s="5" t="s">
        <v>223</v>
      </c>
      <c r="H229" s="6" t="s">
        <v>289</v>
      </c>
      <c r="I229" s="5" t="s">
        <v>50</v>
      </c>
      <c r="J229" s="6">
        <v>45457</v>
      </c>
      <c r="K229" s="18">
        <v>1105</v>
      </c>
    </row>
    <row r="230" spans="1:11" s="4" customFormat="1" ht="89.25" x14ac:dyDescent="0.2">
      <c r="A230" s="12" t="s">
        <v>8</v>
      </c>
      <c r="B230" s="12" t="s">
        <v>108</v>
      </c>
      <c r="C230" s="12" t="s">
        <v>13</v>
      </c>
      <c r="D230" s="12">
        <v>351095652</v>
      </c>
      <c r="E230" s="12" t="s">
        <v>12</v>
      </c>
      <c r="F230" s="5" t="s">
        <v>290</v>
      </c>
      <c r="G230" s="5" t="s">
        <v>224</v>
      </c>
      <c r="H230" s="6" t="s">
        <v>289</v>
      </c>
      <c r="I230" s="5" t="s">
        <v>49</v>
      </c>
      <c r="J230" s="6">
        <v>45455</v>
      </c>
      <c r="K230" s="18">
        <v>1320</v>
      </c>
    </row>
    <row r="231" spans="1:11" s="4" customFormat="1" ht="38.25" x14ac:dyDescent="0.2">
      <c r="A231" s="12" t="s">
        <v>8</v>
      </c>
      <c r="B231" s="12" t="s">
        <v>108</v>
      </c>
      <c r="C231" s="12" t="s">
        <v>13</v>
      </c>
      <c r="D231" s="12">
        <v>351095652</v>
      </c>
      <c r="E231" s="12" t="s">
        <v>12</v>
      </c>
      <c r="F231" s="5" t="s">
        <v>290</v>
      </c>
      <c r="G231" s="5" t="s">
        <v>225</v>
      </c>
      <c r="H231" s="6" t="s">
        <v>289</v>
      </c>
      <c r="I231" s="5" t="s">
        <v>49</v>
      </c>
      <c r="J231" s="6">
        <v>45446</v>
      </c>
      <c r="K231" s="18">
        <v>75</v>
      </c>
    </row>
    <row r="232" spans="1:11" s="4" customFormat="1" ht="102" x14ac:dyDescent="0.2">
      <c r="A232" s="12" t="s">
        <v>8</v>
      </c>
      <c r="B232" s="12" t="s">
        <v>108</v>
      </c>
      <c r="C232" s="12" t="s">
        <v>13</v>
      </c>
      <c r="D232" s="12">
        <v>351096927</v>
      </c>
      <c r="E232" s="12" t="s">
        <v>12</v>
      </c>
      <c r="F232" s="5" t="s">
        <v>290</v>
      </c>
      <c r="G232" s="5" t="s">
        <v>226</v>
      </c>
      <c r="H232" s="6" t="s">
        <v>66</v>
      </c>
      <c r="I232" s="5" t="s">
        <v>49</v>
      </c>
      <c r="J232" s="6">
        <v>45495</v>
      </c>
      <c r="K232" s="18">
        <v>147</v>
      </c>
    </row>
    <row r="233" spans="1:11" s="4" customFormat="1" ht="191.25" x14ac:dyDescent="0.2">
      <c r="A233" s="12" t="s">
        <v>8</v>
      </c>
      <c r="B233" s="12" t="s">
        <v>108</v>
      </c>
      <c r="C233" s="12" t="s">
        <v>13</v>
      </c>
      <c r="D233" s="12" t="s">
        <v>207</v>
      </c>
      <c r="E233" s="12" t="s">
        <v>12</v>
      </c>
      <c r="F233" s="5" t="s">
        <v>290</v>
      </c>
      <c r="G233" s="5" t="s">
        <v>227</v>
      </c>
      <c r="H233" s="6" t="s">
        <v>66</v>
      </c>
      <c r="I233" s="5" t="s">
        <v>49</v>
      </c>
      <c r="J233" s="6">
        <v>45561</v>
      </c>
      <c r="K233" s="18">
        <v>748</v>
      </c>
    </row>
    <row r="234" spans="1:11" s="4" customFormat="1" ht="127.5" x14ac:dyDescent="0.2">
      <c r="A234" s="12" t="s">
        <v>8</v>
      </c>
      <c r="B234" s="12" t="s">
        <v>108</v>
      </c>
      <c r="C234" s="12" t="s">
        <v>12</v>
      </c>
      <c r="D234" s="12">
        <v>351089324</v>
      </c>
      <c r="E234" s="12" t="s">
        <v>13</v>
      </c>
      <c r="F234" s="12" t="s">
        <v>45</v>
      </c>
      <c r="G234" s="5" t="s">
        <v>228</v>
      </c>
      <c r="H234" s="12" t="s">
        <v>66</v>
      </c>
      <c r="I234" s="5" t="s">
        <v>49</v>
      </c>
      <c r="J234" s="6">
        <v>45411</v>
      </c>
      <c r="K234" s="18">
        <f>53+21</f>
        <v>74</v>
      </c>
    </row>
    <row r="235" spans="1:11" s="4" customFormat="1" ht="102" x14ac:dyDescent="0.2">
      <c r="A235" s="12" t="s">
        <v>8</v>
      </c>
      <c r="B235" s="12" t="s">
        <v>108</v>
      </c>
      <c r="C235" s="12" t="s">
        <v>12</v>
      </c>
      <c r="D235" s="12">
        <v>351089324</v>
      </c>
      <c r="E235" s="12" t="s">
        <v>13</v>
      </c>
      <c r="F235" s="12" t="s">
        <v>45</v>
      </c>
      <c r="G235" s="5" t="s">
        <v>229</v>
      </c>
      <c r="H235" s="12" t="s">
        <v>66</v>
      </c>
      <c r="I235" s="5" t="s">
        <v>50</v>
      </c>
      <c r="J235" s="6">
        <v>45411</v>
      </c>
      <c r="K235" s="18">
        <v>91.69</v>
      </c>
    </row>
    <row r="236" spans="1:11" s="4" customFormat="1" ht="89.25" x14ac:dyDescent="0.2">
      <c r="A236" s="12" t="s">
        <v>8</v>
      </c>
      <c r="B236" s="12" t="s">
        <v>108</v>
      </c>
      <c r="C236" s="12" t="s">
        <v>12</v>
      </c>
      <c r="D236" s="12">
        <v>351105207</v>
      </c>
      <c r="E236" s="12" t="s">
        <v>13</v>
      </c>
      <c r="F236" s="12" t="s">
        <v>45</v>
      </c>
      <c r="G236" s="5" t="s">
        <v>230</v>
      </c>
      <c r="H236" s="6" t="s">
        <v>289</v>
      </c>
      <c r="I236" s="5" t="s">
        <v>49</v>
      </c>
      <c r="J236" s="6">
        <v>45579</v>
      </c>
      <c r="K236" s="18">
        <v>65</v>
      </c>
    </row>
    <row r="237" spans="1:11" s="4" customFormat="1" ht="102" x14ac:dyDescent="0.2">
      <c r="A237" s="12" t="s">
        <v>8</v>
      </c>
      <c r="B237" s="12" t="s">
        <v>108</v>
      </c>
      <c r="C237" s="12" t="s">
        <v>12</v>
      </c>
      <c r="D237" s="12">
        <v>351107162</v>
      </c>
      <c r="E237" s="12" t="s">
        <v>13</v>
      </c>
      <c r="F237" s="12" t="s">
        <v>45</v>
      </c>
      <c r="G237" s="5" t="s">
        <v>231</v>
      </c>
      <c r="H237" s="6" t="s">
        <v>289</v>
      </c>
      <c r="I237" s="5" t="s">
        <v>49</v>
      </c>
      <c r="J237" s="6">
        <v>45610</v>
      </c>
      <c r="K237" s="18">
        <v>65</v>
      </c>
    </row>
    <row r="238" spans="1:11" s="4" customFormat="1" ht="204" x14ac:dyDescent="0.2">
      <c r="A238" s="12" t="s">
        <v>8</v>
      </c>
      <c r="B238" s="12" t="s">
        <v>108</v>
      </c>
      <c r="C238" s="12" t="s">
        <v>13</v>
      </c>
      <c r="D238" s="12">
        <v>351089246</v>
      </c>
      <c r="E238" s="12" t="s">
        <v>12</v>
      </c>
      <c r="F238" s="12" t="s">
        <v>82</v>
      </c>
      <c r="G238" s="5" t="s">
        <v>272</v>
      </c>
      <c r="H238" s="6" t="s">
        <v>141</v>
      </c>
      <c r="I238" s="12" t="s">
        <v>50</v>
      </c>
      <c r="J238" s="6">
        <v>45414</v>
      </c>
      <c r="K238" s="18">
        <v>255</v>
      </c>
    </row>
    <row r="239" spans="1:11" s="4" customFormat="1" ht="318.75" x14ac:dyDescent="0.2">
      <c r="A239" s="12" t="s">
        <v>8</v>
      </c>
      <c r="B239" s="12" t="s">
        <v>108</v>
      </c>
      <c r="C239" s="12" t="s">
        <v>13</v>
      </c>
      <c r="D239" s="12">
        <v>351115627</v>
      </c>
      <c r="E239" s="12" t="s">
        <v>12</v>
      </c>
      <c r="F239" s="12" t="s">
        <v>82</v>
      </c>
      <c r="G239" s="5" t="s">
        <v>273</v>
      </c>
      <c r="H239" s="6" t="s">
        <v>66</v>
      </c>
      <c r="I239" s="5" t="s">
        <v>49</v>
      </c>
      <c r="J239" s="6">
        <v>45705</v>
      </c>
      <c r="K239" s="18">
        <v>252</v>
      </c>
    </row>
    <row r="240" spans="1:11" s="4" customFormat="1" ht="51" x14ac:dyDescent="0.2">
      <c r="A240" s="12" t="s">
        <v>8</v>
      </c>
      <c r="B240" s="12" t="s">
        <v>108</v>
      </c>
      <c r="C240" s="12" t="s">
        <v>13</v>
      </c>
      <c r="D240" s="12">
        <v>351115627</v>
      </c>
      <c r="E240" s="12" t="s">
        <v>12</v>
      </c>
      <c r="F240" s="12" t="s">
        <v>82</v>
      </c>
      <c r="G240" s="5" t="s">
        <v>274</v>
      </c>
      <c r="H240" s="6" t="s">
        <v>66</v>
      </c>
      <c r="I240" s="12" t="s">
        <v>50</v>
      </c>
      <c r="J240" s="6">
        <v>45705</v>
      </c>
      <c r="K240" s="18">
        <v>32.479999999999997</v>
      </c>
    </row>
    <row r="241" spans="1:11" s="4" customFormat="1" ht="51" x14ac:dyDescent="0.2">
      <c r="A241" s="12" t="s">
        <v>8</v>
      </c>
      <c r="B241" s="12" t="s">
        <v>108</v>
      </c>
      <c r="C241" s="12" t="s">
        <v>13</v>
      </c>
      <c r="D241" s="12">
        <v>351115627</v>
      </c>
      <c r="E241" s="12" t="s">
        <v>12</v>
      </c>
      <c r="F241" s="12" t="s">
        <v>82</v>
      </c>
      <c r="G241" s="5" t="s">
        <v>275</v>
      </c>
      <c r="H241" s="6" t="s">
        <v>66</v>
      </c>
      <c r="I241" s="12" t="s">
        <v>50</v>
      </c>
      <c r="J241" s="6">
        <v>45705</v>
      </c>
      <c r="K241" s="18">
        <v>16.39</v>
      </c>
    </row>
    <row r="242" spans="1:11" s="4" customFormat="1" ht="51" x14ac:dyDescent="0.2">
      <c r="A242" s="12" t="s">
        <v>8</v>
      </c>
      <c r="B242" s="12" t="s">
        <v>108</v>
      </c>
      <c r="C242" s="12" t="s">
        <v>13</v>
      </c>
      <c r="D242" s="12">
        <v>351115627</v>
      </c>
      <c r="E242" s="12" t="s">
        <v>12</v>
      </c>
      <c r="F242" s="12" t="s">
        <v>82</v>
      </c>
      <c r="G242" s="5" t="s">
        <v>276</v>
      </c>
      <c r="H242" s="6" t="s">
        <v>66</v>
      </c>
      <c r="I242" s="12" t="s">
        <v>50</v>
      </c>
      <c r="J242" s="6">
        <v>45705</v>
      </c>
      <c r="K242" s="18">
        <v>12.81</v>
      </c>
    </row>
    <row r="243" spans="1:11" s="4" customFormat="1" ht="89.25" x14ac:dyDescent="0.2">
      <c r="A243" s="12" t="s">
        <v>8</v>
      </c>
      <c r="B243" s="12" t="s">
        <v>108</v>
      </c>
      <c r="C243" s="12" t="s">
        <v>13</v>
      </c>
      <c r="D243" s="12">
        <v>351115627</v>
      </c>
      <c r="E243" s="12" t="s">
        <v>12</v>
      </c>
      <c r="F243" s="12" t="s">
        <v>82</v>
      </c>
      <c r="G243" s="5" t="s">
        <v>277</v>
      </c>
      <c r="H243" s="6" t="s">
        <v>66</v>
      </c>
      <c r="I243" s="12" t="s">
        <v>50</v>
      </c>
      <c r="J243" s="6">
        <v>45705</v>
      </c>
      <c r="K243" s="18">
        <v>23.58</v>
      </c>
    </row>
    <row r="244" spans="1:11" s="4" customFormat="1" ht="89.25" x14ac:dyDescent="0.2">
      <c r="A244" s="12" t="s">
        <v>8</v>
      </c>
      <c r="B244" s="12" t="s">
        <v>108</v>
      </c>
      <c r="C244" s="12" t="s">
        <v>13</v>
      </c>
      <c r="D244" s="12" t="s">
        <v>284</v>
      </c>
      <c r="E244" s="12" t="s">
        <v>12</v>
      </c>
      <c r="F244" s="5" t="s">
        <v>181</v>
      </c>
      <c r="G244" s="5" t="s">
        <v>285</v>
      </c>
      <c r="H244" s="6" t="s">
        <v>66</v>
      </c>
      <c r="I244" s="5" t="s">
        <v>49</v>
      </c>
      <c r="J244" s="6">
        <v>45707</v>
      </c>
      <c r="K244" s="18">
        <v>52</v>
      </c>
    </row>
    <row r="245" spans="1:11" s="4" customFormat="1" ht="255" x14ac:dyDescent="0.2">
      <c r="A245" s="12" t="s">
        <v>8</v>
      </c>
      <c r="B245" s="12" t="s">
        <v>109</v>
      </c>
      <c r="C245" s="12" t="s">
        <v>12</v>
      </c>
      <c r="D245" s="12">
        <v>351118686</v>
      </c>
      <c r="E245" s="12" t="s">
        <v>13</v>
      </c>
      <c r="F245" s="12" t="s">
        <v>184</v>
      </c>
      <c r="G245" s="5" t="s">
        <v>243</v>
      </c>
      <c r="H245" s="6" t="s">
        <v>66</v>
      </c>
      <c r="I245" s="5" t="s">
        <v>49</v>
      </c>
      <c r="J245" s="6">
        <v>45805</v>
      </c>
      <c r="K245" s="18">
        <v>1060.5</v>
      </c>
    </row>
    <row r="246" spans="1:11" s="4" customFormat="1" ht="76.5" x14ac:dyDescent="0.2">
      <c r="A246" s="12" t="s">
        <v>8</v>
      </c>
      <c r="B246" s="12" t="s">
        <v>109</v>
      </c>
      <c r="C246" s="12" t="s">
        <v>12</v>
      </c>
      <c r="D246" s="12" t="s">
        <v>232</v>
      </c>
      <c r="E246" s="12" t="s">
        <v>13</v>
      </c>
      <c r="F246" s="12" t="s">
        <v>184</v>
      </c>
      <c r="G246" s="5" t="s">
        <v>235</v>
      </c>
      <c r="H246" s="6" t="s">
        <v>66</v>
      </c>
      <c r="I246" s="5" t="s">
        <v>49</v>
      </c>
      <c r="J246" s="6">
        <v>46000</v>
      </c>
      <c r="K246" s="18">
        <v>1070</v>
      </c>
    </row>
    <row r="247" spans="1:11" s="4" customFormat="1" ht="331.5" x14ac:dyDescent="0.2">
      <c r="A247" s="12" t="s">
        <v>8</v>
      </c>
      <c r="B247" s="12" t="s">
        <v>109</v>
      </c>
      <c r="C247" s="12" t="s">
        <v>12</v>
      </c>
      <c r="D247" s="12" t="s">
        <v>233</v>
      </c>
      <c r="E247" s="12" t="s">
        <v>13</v>
      </c>
      <c r="F247" s="12" t="s">
        <v>184</v>
      </c>
      <c r="G247" s="5" t="s">
        <v>236</v>
      </c>
      <c r="H247" s="6" t="s">
        <v>66</v>
      </c>
      <c r="I247" s="5" t="s">
        <v>49</v>
      </c>
      <c r="J247" s="6">
        <v>45959</v>
      </c>
      <c r="K247" s="18">
        <v>252</v>
      </c>
    </row>
    <row r="248" spans="1:11" s="4" customFormat="1" ht="102" x14ac:dyDescent="0.2">
      <c r="A248" s="12" t="s">
        <v>8</v>
      </c>
      <c r="B248" s="12" t="s">
        <v>109</v>
      </c>
      <c r="C248" s="12" t="s">
        <v>12</v>
      </c>
      <c r="D248" s="12" t="s">
        <v>233</v>
      </c>
      <c r="E248" s="12" t="s">
        <v>13</v>
      </c>
      <c r="F248" s="12" t="s">
        <v>184</v>
      </c>
      <c r="G248" s="5" t="s">
        <v>237</v>
      </c>
      <c r="H248" s="6" t="s">
        <v>66</v>
      </c>
      <c r="I248" s="5" t="s">
        <v>50</v>
      </c>
      <c r="J248" s="6">
        <v>45959</v>
      </c>
      <c r="K248" s="18">
        <v>50</v>
      </c>
    </row>
    <row r="249" spans="1:11" s="4" customFormat="1" ht="89.25" x14ac:dyDescent="0.2">
      <c r="A249" s="12" t="s">
        <v>8</v>
      </c>
      <c r="B249" s="12" t="s">
        <v>109</v>
      </c>
      <c r="C249" s="12" t="s">
        <v>12</v>
      </c>
      <c r="D249" s="12" t="s">
        <v>233</v>
      </c>
      <c r="E249" s="12" t="s">
        <v>13</v>
      </c>
      <c r="F249" s="12" t="s">
        <v>184</v>
      </c>
      <c r="G249" s="5" t="s">
        <v>238</v>
      </c>
      <c r="H249" s="6" t="s">
        <v>66</v>
      </c>
      <c r="I249" s="5" t="s">
        <v>50</v>
      </c>
      <c r="J249" s="6">
        <v>45959</v>
      </c>
      <c r="K249" s="18">
        <v>250</v>
      </c>
    </row>
    <row r="250" spans="1:11" s="4" customFormat="1" ht="102" x14ac:dyDescent="0.2">
      <c r="A250" s="12" t="s">
        <v>8</v>
      </c>
      <c r="B250" s="12" t="s">
        <v>109</v>
      </c>
      <c r="C250" s="12" t="s">
        <v>12</v>
      </c>
      <c r="D250" s="12" t="s">
        <v>233</v>
      </c>
      <c r="E250" s="12" t="s">
        <v>13</v>
      </c>
      <c r="F250" s="12" t="s">
        <v>184</v>
      </c>
      <c r="G250" s="5" t="s">
        <v>239</v>
      </c>
      <c r="H250" s="6" t="s">
        <v>66</v>
      </c>
      <c r="I250" s="5" t="s">
        <v>50</v>
      </c>
      <c r="J250" s="6">
        <v>45959</v>
      </c>
      <c r="K250" s="18">
        <v>50</v>
      </c>
    </row>
    <row r="251" spans="1:11" s="4" customFormat="1" ht="76.5" x14ac:dyDescent="0.2">
      <c r="A251" s="12" t="s">
        <v>8</v>
      </c>
      <c r="B251" s="12" t="s">
        <v>109</v>
      </c>
      <c r="C251" s="12" t="s">
        <v>12</v>
      </c>
      <c r="D251" s="12" t="s">
        <v>233</v>
      </c>
      <c r="E251" s="12" t="s">
        <v>13</v>
      </c>
      <c r="F251" s="12" t="s">
        <v>184</v>
      </c>
      <c r="G251" s="5" t="s">
        <v>240</v>
      </c>
      <c r="H251" s="6" t="s">
        <v>66</v>
      </c>
      <c r="I251" s="5" t="s">
        <v>50</v>
      </c>
      <c r="J251" s="6">
        <v>45959</v>
      </c>
      <c r="K251" s="18">
        <v>100</v>
      </c>
    </row>
    <row r="252" spans="1:11" s="4" customFormat="1" ht="153" x14ac:dyDescent="0.2">
      <c r="A252" s="12" t="s">
        <v>8</v>
      </c>
      <c r="B252" s="12" t="s">
        <v>109</v>
      </c>
      <c r="C252" s="12" t="s">
        <v>12</v>
      </c>
      <c r="D252" s="12" t="s">
        <v>234</v>
      </c>
      <c r="E252" s="12" t="s">
        <v>13</v>
      </c>
      <c r="F252" s="12" t="s">
        <v>184</v>
      </c>
      <c r="G252" s="5" t="s">
        <v>241</v>
      </c>
      <c r="H252" s="6" t="s">
        <v>66</v>
      </c>
      <c r="I252" s="5" t="s">
        <v>49</v>
      </c>
      <c r="J252" s="6">
        <v>46000</v>
      </c>
      <c r="K252" s="18">
        <v>63</v>
      </c>
    </row>
    <row r="253" spans="1:11" s="4" customFormat="1" ht="76.5" x14ac:dyDescent="0.2">
      <c r="A253" s="12" t="s">
        <v>8</v>
      </c>
      <c r="B253" s="12" t="s">
        <v>109</v>
      </c>
      <c r="C253" s="12" t="s">
        <v>12</v>
      </c>
      <c r="D253" s="12">
        <v>351136908</v>
      </c>
      <c r="E253" s="12" t="s">
        <v>13</v>
      </c>
      <c r="F253" s="12" t="s">
        <v>184</v>
      </c>
      <c r="G253" s="5" t="s">
        <v>242</v>
      </c>
      <c r="H253" s="6" t="s">
        <v>289</v>
      </c>
      <c r="I253" s="5" t="s">
        <v>49</v>
      </c>
      <c r="J253" s="6">
        <v>45964</v>
      </c>
      <c r="K253" s="18">
        <v>75</v>
      </c>
    </row>
    <row r="254" spans="1:11" s="4" customFormat="1" ht="255" x14ac:dyDescent="0.2">
      <c r="A254" s="12" t="s">
        <v>8</v>
      </c>
      <c r="B254" s="12" t="s">
        <v>109</v>
      </c>
      <c r="C254" s="12" t="s">
        <v>13</v>
      </c>
      <c r="D254" s="12" t="s">
        <v>244</v>
      </c>
      <c r="E254" s="12" t="s">
        <v>12</v>
      </c>
      <c r="F254" s="5" t="s">
        <v>181</v>
      </c>
      <c r="G254" s="5" t="s">
        <v>245</v>
      </c>
      <c r="H254" s="6" t="s">
        <v>66</v>
      </c>
      <c r="I254" s="5" t="s">
        <v>49</v>
      </c>
      <c r="J254" s="6">
        <v>45918</v>
      </c>
      <c r="K254" s="18">
        <v>210</v>
      </c>
    </row>
    <row r="255" spans="1:11" s="4" customFormat="1" ht="127.5" x14ac:dyDescent="0.2">
      <c r="A255" s="12" t="s">
        <v>8</v>
      </c>
      <c r="B255" s="12" t="s">
        <v>109</v>
      </c>
      <c r="C255" s="12" t="s">
        <v>13</v>
      </c>
      <c r="D255" s="12">
        <v>351137599</v>
      </c>
      <c r="E255" s="12" t="s">
        <v>12</v>
      </c>
      <c r="F255" s="5" t="s">
        <v>181</v>
      </c>
      <c r="G255" s="5" t="s">
        <v>246</v>
      </c>
      <c r="H255" s="6" t="s">
        <v>66</v>
      </c>
      <c r="I255" s="5" t="s">
        <v>49</v>
      </c>
      <c r="J255" s="6">
        <v>45965</v>
      </c>
      <c r="K255" s="18">
        <v>126</v>
      </c>
    </row>
    <row r="256" spans="1:11" s="4" customFormat="1" ht="178.5" x14ac:dyDescent="0.2">
      <c r="A256" s="12" t="s">
        <v>8</v>
      </c>
      <c r="B256" s="12" t="s">
        <v>109</v>
      </c>
      <c r="C256" s="12" t="s">
        <v>13</v>
      </c>
      <c r="D256" s="12">
        <v>351085852</v>
      </c>
      <c r="E256" s="12" t="s">
        <v>12</v>
      </c>
      <c r="F256" s="12" t="s">
        <v>33</v>
      </c>
      <c r="G256" s="5" t="s">
        <v>247</v>
      </c>
      <c r="H256" s="6" t="s">
        <v>66</v>
      </c>
      <c r="I256" s="5" t="s">
        <v>49</v>
      </c>
      <c r="J256" s="6">
        <v>45366</v>
      </c>
      <c r="K256" s="18">
        <v>180</v>
      </c>
    </row>
    <row r="257" spans="1:11" s="4" customFormat="1" ht="191.25" x14ac:dyDescent="0.2">
      <c r="A257" s="12" t="s">
        <v>8</v>
      </c>
      <c r="B257" s="12" t="s">
        <v>109</v>
      </c>
      <c r="C257" s="12" t="s">
        <v>13</v>
      </c>
      <c r="D257" s="12">
        <v>351085852</v>
      </c>
      <c r="E257" s="12" t="s">
        <v>12</v>
      </c>
      <c r="F257" s="12" t="s">
        <v>33</v>
      </c>
      <c r="G257" s="5" t="s">
        <v>248</v>
      </c>
      <c r="H257" s="6" t="s">
        <v>66</v>
      </c>
      <c r="I257" s="5" t="s">
        <v>50</v>
      </c>
      <c r="J257" s="6">
        <v>45366</v>
      </c>
      <c r="K257" s="18">
        <v>70</v>
      </c>
    </row>
    <row r="258" spans="1:11" s="4" customFormat="1" ht="140.25" x14ac:dyDescent="0.2">
      <c r="A258" s="12" t="s">
        <v>8</v>
      </c>
      <c r="B258" s="12" t="s">
        <v>109</v>
      </c>
      <c r="C258" s="12" t="s">
        <v>13</v>
      </c>
      <c r="D258" s="12">
        <v>351119901</v>
      </c>
      <c r="E258" s="12" t="s">
        <v>12</v>
      </c>
      <c r="F258" s="12" t="s">
        <v>33</v>
      </c>
      <c r="G258" s="5" t="s">
        <v>249</v>
      </c>
      <c r="H258" s="6" t="s">
        <v>66</v>
      </c>
      <c r="I258" s="5" t="s">
        <v>49</v>
      </c>
      <c r="J258" s="6">
        <v>45751</v>
      </c>
      <c r="K258" s="18">
        <v>159</v>
      </c>
    </row>
    <row r="259" spans="1:11" s="4" customFormat="1" ht="114.75" x14ac:dyDescent="0.2">
      <c r="A259" s="12" t="s">
        <v>8</v>
      </c>
      <c r="B259" s="12" t="s">
        <v>109</v>
      </c>
      <c r="C259" s="12" t="s">
        <v>13</v>
      </c>
      <c r="D259" s="12">
        <v>351119901</v>
      </c>
      <c r="E259" s="12" t="s">
        <v>12</v>
      </c>
      <c r="F259" s="12" t="s">
        <v>33</v>
      </c>
      <c r="G259" s="5" t="s">
        <v>250</v>
      </c>
      <c r="H259" s="6" t="s">
        <v>66</v>
      </c>
      <c r="I259" s="5" t="s">
        <v>50</v>
      </c>
      <c r="J259" s="6">
        <v>45751</v>
      </c>
      <c r="K259" s="18">
        <v>44.879999999999995</v>
      </c>
    </row>
    <row r="260" spans="1:11" s="4" customFormat="1" ht="165.75" x14ac:dyDescent="0.2">
      <c r="A260" s="12" t="s">
        <v>8</v>
      </c>
      <c r="B260" s="12" t="s">
        <v>109</v>
      </c>
      <c r="C260" s="12" t="s">
        <v>13</v>
      </c>
      <c r="D260" s="12">
        <v>351138204</v>
      </c>
      <c r="E260" s="12" t="s">
        <v>12</v>
      </c>
      <c r="F260" s="12" t="s">
        <v>33</v>
      </c>
      <c r="G260" s="5" t="s">
        <v>251</v>
      </c>
      <c r="H260" s="6" t="s">
        <v>66</v>
      </c>
      <c r="I260" s="5" t="s">
        <v>49</v>
      </c>
      <c r="J260" s="6">
        <v>45980</v>
      </c>
      <c r="K260" s="18">
        <v>210</v>
      </c>
    </row>
    <row r="261" spans="1:11" s="4" customFormat="1" ht="89.25" x14ac:dyDescent="0.2">
      <c r="A261" s="12" t="s">
        <v>8</v>
      </c>
      <c r="B261" s="12" t="s">
        <v>109</v>
      </c>
      <c r="C261" s="12" t="s">
        <v>13</v>
      </c>
      <c r="D261" s="12">
        <v>351138204</v>
      </c>
      <c r="E261" s="12" t="s">
        <v>12</v>
      </c>
      <c r="F261" s="12" t="s">
        <v>33</v>
      </c>
      <c r="G261" s="5" t="s">
        <v>252</v>
      </c>
      <c r="H261" s="6" t="s">
        <v>66</v>
      </c>
      <c r="I261" s="5" t="s">
        <v>50</v>
      </c>
      <c r="J261" s="6">
        <v>45980</v>
      </c>
      <c r="K261" s="18">
        <v>53.290000000000006</v>
      </c>
    </row>
    <row r="262" spans="1:11" s="4" customFormat="1" ht="165.75" x14ac:dyDescent="0.2">
      <c r="A262" s="12" t="s">
        <v>8</v>
      </c>
      <c r="B262" s="12" t="s">
        <v>109</v>
      </c>
      <c r="C262" s="12" t="s">
        <v>13</v>
      </c>
      <c r="D262" s="12" t="s">
        <v>146</v>
      </c>
      <c r="E262" s="12" t="s">
        <v>12</v>
      </c>
      <c r="F262" s="12" t="s">
        <v>33</v>
      </c>
      <c r="G262" s="5" t="s">
        <v>154</v>
      </c>
      <c r="H262" s="6" t="s">
        <v>66</v>
      </c>
      <c r="I262" s="5" t="s">
        <v>49</v>
      </c>
      <c r="J262" s="6">
        <v>46058</v>
      </c>
      <c r="K262" s="18">
        <v>100</v>
      </c>
    </row>
    <row r="263" spans="1:11" s="4" customFormat="1" ht="140.25" x14ac:dyDescent="0.2">
      <c r="A263" s="12" t="s">
        <v>8</v>
      </c>
      <c r="B263" s="12" t="s">
        <v>109</v>
      </c>
      <c r="C263" s="12" t="s">
        <v>13</v>
      </c>
      <c r="D263" s="12">
        <v>351124838</v>
      </c>
      <c r="E263" s="12" t="s">
        <v>12</v>
      </c>
      <c r="F263" s="12" t="s">
        <v>253</v>
      </c>
      <c r="G263" s="5" t="s">
        <v>254</v>
      </c>
      <c r="H263" s="6" t="s">
        <v>66</v>
      </c>
      <c r="I263" s="5" t="s">
        <v>49</v>
      </c>
      <c r="J263" s="6">
        <v>45812</v>
      </c>
      <c r="K263" s="18">
        <v>220</v>
      </c>
    </row>
    <row r="264" spans="1:11" s="4" customFormat="1" ht="89.25" x14ac:dyDescent="0.2">
      <c r="A264" s="12" t="s">
        <v>8</v>
      </c>
      <c r="B264" s="12" t="s">
        <v>109</v>
      </c>
      <c r="C264" s="12" t="s">
        <v>13</v>
      </c>
      <c r="D264" s="12">
        <v>351124841</v>
      </c>
      <c r="E264" s="12" t="s">
        <v>12</v>
      </c>
      <c r="F264" s="12" t="s">
        <v>253</v>
      </c>
      <c r="G264" s="5" t="s">
        <v>255</v>
      </c>
      <c r="H264" s="6" t="s">
        <v>66</v>
      </c>
      <c r="I264" s="5" t="s">
        <v>50</v>
      </c>
      <c r="J264" s="6">
        <v>45813</v>
      </c>
      <c r="K264" s="18">
        <v>101.47</v>
      </c>
    </row>
    <row r="265" spans="1:11" s="4" customFormat="1" ht="127.5" x14ac:dyDescent="0.2">
      <c r="A265" s="12" t="s">
        <v>8</v>
      </c>
      <c r="B265" s="12" t="s">
        <v>109</v>
      </c>
      <c r="C265" s="12" t="s">
        <v>13</v>
      </c>
      <c r="D265" s="12">
        <v>351126507</v>
      </c>
      <c r="E265" s="12" t="s">
        <v>12</v>
      </c>
      <c r="F265" s="12" t="s">
        <v>253</v>
      </c>
      <c r="G265" s="5" t="s">
        <v>256</v>
      </c>
      <c r="H265" s="6" t="s">
        <v>66</v>
      </c>
      <c r="I265" s="5" t="s">
        <v>49</v>
      </c>
      <c r="J265" s="6">
        <v>45833</v>
      </c>
      <c r="K265" s="18">
        <v>42</v>
      </c>
    </row>
    <row r="266" spans="1:11" s="4" customFormat="1" ht="153" x14ac:dyDescent="0.2">
      <c r="A266" s="12" t="s">
        <v>8</v>
      </c>
      <c r="B266" s="12" t="s">
        <v>109</v>
      </c>
      <c r="C266" s="12" t="s">
        <v>13</v>
      </c>
      <c r="D266" s="12">
        <v>351126996</v>
      </c>
      <c r="E266" s="12" t="s">
        <v>12</v>
      </c>
      <c r="F266" s="12" t="s">
        <v>253</v>
      </c>
      <c r="G266" s="5" t="s">
        <v>257</v>
      </c>
      <c r="H266" s="6" t="s">
        <v>66</v>
      </c>
      <c r="I266" s="5" t="s">
        <v>49</v>
      </c>
      <c r="J266" s="6">
        <v>45838</v>
      </c>
      <c r="K266" s="18">
        <v>210</v>
      </c>
    </row>
    <row r="267" spans="1:11" s="4" customFormat="1" ht="51" x14ac:dyDescent="0.2">
      <c r="A267" s="12" t="s">
        <v>8</v>
      </c>
      <c r="B267" s="12" t="s">
        <v>109</v>
      </c>
      <c r="C267" s="12" t="s">
        <v>13</v>
      </c>
      <c r="D267" s="12">
        <v>351130465</v>
      </c>
      <c r="E267" s="12" t="s">
        <v>12</v>
      </c>
      <c r="F267" s="12" t="s">
        <v>253</v>
      </c>
      <c r="G267" s="5" t="s">
        <v>258</v>
      </c>
      <c r="H267" s="6" t="s">
        <v>66</v>
      </c>
      <c r="I267" s="5" t="s">
        <v>49</v>
      </c>
      <c r="J267" s="6">
        <v>45877</v>
      </c>
      <c r="K267" s="18">
        <v>63</v>
      </c>
    </row>
    <row r="268" spans="1:11" s="4" customFormat="1" ht="89.25" x14ac:dyDescent="0.2">
      <c r="A268" s="12" t="s">
        <v>8</v>
      </c>
      <c r="B268" s="12" t="s">
        <v>109</v>
      </c>
      <c r="C268" s="12" t="s">
        <v>13</v>
      </c>
      <c r="D268" s="12">
        <v>351124213</v>
      </c>
      <c r="E268" s="12" t="s">
        <v>12</v>
      </c>
      <c r="F268" s="12" t="s">
        <v>253</v>
      </c>
      <c r="G268" s="5" t="s">
        <v>259</v>
      </c>
      <c r="H268" s="6" t="s">
        <v>289</v>
      </c>
      <c r="I268" s="5" t="s">
        <v>49</v>
      </c>
      <c r="J268" s="6">
        <v>45806</v>
      </c>
      <c r="K268" s="18">
        <v>780</v>
      </c>
    </row>
    <row r="269" spans="1:11" s="4" customFormat="1" ht="76.5" x14ac:dyDescent="0.2">
      <c r="A269" s="12" t="s">
        <v>8</v>
      </c>
      <c r="B269" s="12" t="s">
        <v>109</v>
      </c>
      <c r="C269" s="12" t="s">
        <v>13</v>
      </c>
      <c r="D269" s="12">
        <v>351124604</v>
      </c>
      <c r="E269" s="12" t="s">
        <v>12</v>
      </c>
      <c r="F269" s="12" t="s">
        <v>253</v>
      </c>
      <c r="G269" s="5" t="s">
        <v>260</v>
      </c>
      <c r="H269" s="6" t="s">
        <v>289</v>
      </c>
      <c r="I269" s="5" t="s">
        <v>49</v>
      </c>
      <c r="J269" s="6">
        <v>45812</v>
      </c>
      <c r="K269" s="18">
        <v>75</v>
      </c>
    </row>
    <row r="270" spans="1:11" s="4" customFormat="1" ht="76.5" x14ac:dyDescent="0.2">
      <c r="A270" s="12" t="s">
        <v>8</v>
      </c>
      <c r="B270" s="12" t="s">
        <v>109</v>
      </c>
      <c r="C270" s="12" t="s">
        <v>13</v>
      </c>
      <c r="D270" s="12">
        <v>351127248</v>
      </c>
      <c r="E270" s="12" t="s">
        <v>12</v>
      </c>
      <c r="F270" s="12" t="s">
        <v>253</v>
      </c>
      <c r="G270" s="5" t="s">
        <v>261</v>
      </c>
      <c r="H270" s="6" t="s">
        <v>289</v>
      </c>
      <c r="I270" s="5" t="s">
        <v>49</v>
      </c>
      <c r="J270" s="6">
        <v>45806</v>
      </c>
      <c r="K270" s="18">
        <v>75</v>
      </c>
    </row>
    <row r="271" spans="1:11" s="4" customFormat="1" ht="204" x14ac:dyDescent="0.2">
      <c r="A271" s="12" t="s">
        <v>8</v>
      </c>
      <c r="B271" s="12" t="s">
        <v>109</v>
      </c>
      <c r="C271" s="12" t="s">
        <v>13</v>
      </c>
      <c r="D271" s="12">
        <v>351127248</v>
      </c>
      <c r="E271" s="12" t="s">
        <v>12</v>
      </c>
      <c r="F271" s="12" t="s">
        <v>253</v>
      </c>
      <c r="G271" s="5" t="s">
        <v>262</v>
      </c>
      <c r="H271" s="6" t="s">
        <v>289</v>
      </c>
      <c r="I271" s="5" t="s">
        <v>50</v>
      </c>
      <c r="J271" s="6">
        <v>45839</v>
      </c>
      <c r="K271" s="18">
        <v>760</v>
      </c>
    </row>
    <row r="272" spans="1:11" s="4" customFormat="1" ht="76.5" x14ac:dyDescent="0.2">
      <c r="A272" s="12" t="s">
        <v>8</v>
      </c>
      <c r="B272" s="12" t="s">
        <v>109</v>
      </c>
      <c r="C272" s="12" t="s">
        <v>13</v>
      </c>
      <c r="D272" s="12">
        <v>351127249</v>
      </c>
      <c r="E272" s="12" t="s">
        <v>12</v>
      </c>
      <c r="F272" s="12" t="s">
        <v>253</v>
      </c>
      <c r="G272" s="5" t="s">
        <v>263</v>
      </c>
      <c r="H272" s="6" t="s">
        <v>289</v>
      </c>
      <c r="I272" s="5" t="s">
        <v>49</v>
      </c>
      <c r="J272" s="6">
        <v>45806</v>
      </c>
      <c r="K272" s="18">
        <v>780</v>
      </c>
    </row>
    <row r="273" spans="1:15" s="4" customFormat="1" ht="114.75" x14ac:dyDescent="0.2">
      <c r="A273" s="12" t="s">
        <v>8</v>
      </c>
      <c r="B273" s="12" t="s">
        <v>109</v>
      </c>
      <c r="C273" s="12" t="s">
        <v>12</v>
      </c>
      <c r="D273" s="12">
        <v>351127249</v>
      </c>
      <c r="E273" s="12" t="s">
        <v>13</v>
      </c>
      <c r="F273" s="12" t="s">
        <v>253</v>
      </c>
      <c r="G273" s="5" t="s">
        <v>264</v>
      </c>
      <c r="H273" s="6" t="s">
        <v>289</v>
      </c>
      <c r="I273" s="5" t="s">
        <v>50</v>
      </c>
      <c r="J273" s="6">
        <v>45901</v>
      </c>
      <c r="K273" s="18">
        <v>167</v>
      </c>
    </row>
    <row r="274" spans="1:15" s="4" customFormat="1" ht="178.5" x14ac:dyDescent="0.2">
      <c r="A274" s="12" t="s">
        <v>8</v>
      </c>
      <c r="B274" s="12" t="s">
        <v>109</v>
      </c>
      <c r="C274" s="12" t="s">
        <v>12</v>
      </c>
      <c r="D274" s="12" t="s">
        <v>265</v>
      </c>
      <c r="E274" s="12" t="s">
        <v>13</v>
      </c>
      <c r="F274" s="12" t="s">
        <v>45</v>
      </c>
      <c r="G274" s="5" t="s">
        <v>266</v>
      </c>
      <c r="H274" s="6" t="s">
        <v>66</v>
      </c>
      <c r="I274" s="5" t="s">
        <v>49</v>
      </c>
      <c r="J274" s="6">
        <v>45750</v>
      </c>
      <c r="K274" s="18">
        <v>210</v>
      </c>
    </row>
    <row r="275" spans="1:15" s="4" customFormat="1" ht="89.25" x14ac:dyDescent="0.2">
      <c r="A275" s="12" t="s">
        <v>8</v>
      </c>
      <c r="B275" s="12" t="s">
        <v>109</v>
      </c>
      <c r="C275" s="12" t="s">
        <v>12</v>
      </c>
      <c r="D275" s="12">
        <v>351120596</v>
      </c>
      <c r="E275" s="12" t="s">
        <v>13</v>
      </c>
      <c r="F275" s="12" t="s">
        <v>45</v>
      </c>
      <c r="G275" s="5" t="s">
        <v>267</v>
      </c>
      <c r="H275" s="6" t="s">
        <v>66</v>
      </c>
      <c r="I275" s="5" t="s">
        <v>49</v>
      </c>
      <c r="J275" s="6">
        <v>45763</v>
      </c>
      <c r="K275" s="18">
        <v>52.5</v>
      </c>
    </row>
    <row r="276" spans="1:15" s="4" customFormat="1" ht="165.75" x14ac:dyDescent="0.2">
      <c r="A276" s="12" t="s">
        <v>8</v>
      </c>
      <c r="B276" s="12" t="s">
        <v>109</v>
      </c>
      <c r="C276" s="12" t="s">
        <v>12</v>
      </c>
      <c r="D276" s="12">
        <v>351137597</v>
      </c>
      <c r="E276" s="12" t="s">
        <v>13</v>
      </c>
      <c r="F276" s="12" t="s">
        <v>45</v>
      </c>
      <c r="G276" s="5" t="s">
        <v>268</v>
      </c>
      <c r="H276" s="6" t="s">
        <v>66</v>
      </c>
      <c r="I276" s="5" t="s">
        <v>49</v>
      </c>
      <c r="J276" s="6">
        <v>45973</v>
      </c>
      <c r="K276" s="18">
        <v>126</v>
      </c>
    </row>
    <row r="277" spans="1:15" s="4" customFormat="1" ht="102" x14ac:dyDescent="0.2">
      <c r="A277" s="12" t="s">
        <v>8</v>
      </c>
      <c r="B277" s="12" t="s">
        <v>109</v>
      </c>
      <c r="C277" s="12" t="s">
        <v>12</v>
      </c>
      <c r="D277" s="12">
        <v>351137597</v>
      </c>
      <c r="E277" s="12" t="s">
        <v>13</v>
      </c>
      <c r="F277" s="12" t="s">
        <v>45</v>
      </c>
      <c r="G277" s="5" t="s">
        <v>269</v>
      </c>
      <c r="H277" s="6" t="s">
        <v>66</v>
      </c>
      <c r="I277" s="5" t="s">
        <v>50</v>
      </c>
      <c r="J277" s="6">
        <v>45973</v>
      </c>
      <c r="K277" s="18">
        <v>46.84</v>
      </c>
    </row>
    <row r="278" spans="1:15" s="4" customFormat="1" ht="242.25" x14ac:dyDescent="0.2">
      <c r="A278" s="12" t="s">
        <v>8</v>
      </c>
      <c r="B278" s="12" t="s">
        <v>109</v>
      </c>
      <c r="C278" s="12" t="s">
        <v>12</v>
      </c>
      <c r="D278" s="12">
        <v>351140171</v>
      </c>
      <c r="E278" s="12" t="s">
        <v>13</v>
      </c>
      <c r="F278" s="12" t="s">
        <v>45</v>
      </c>
      <c r="G278" s="5" t="s">
        <v>270</v>
      </c>
      <c r="H278" s="6" t="s">
        <v>66</v>
      </c>
      <c r="I278" s="5" t="s">
        <v>49</v>
      </c>
      <c r="J278" s="6">
        <v>46067</v>
      </c>
      <c r="K278" s="18">
        <v>241.5</v>
      </c>
    </row>
    <row r="279" spans="1:15" s="4" customFormat="1" ht="102" x14ac:dyDescent="0.2">
      <c r="A279" s="12" t="s">
        <v>8</v>
      </c>
      <c r="B279" s="12" t="s">
        <v>109</v>
      </c>
      <c r="C279" s="12" t="s">
        <v>12</v>
      </c>
      <c r="D279" s="12">
        <v>351140171</v>
      </c>
      <c r="E279" s="12" t="s">
        <v>13</v>
      </c>
      <c r="F279" s="12" t="s">
        <v>45</v>
      </c>
      <c r="G279" s="5" t="s">
        <v>271</v>
      </c>
      <c r="H279" s="6" t="s">
        <v>66</v>
      </c>
      <c r="I279" s="5" t="s">
        <v>50</v>
      </c>
      <c r="J279" s="6">
        <v>46067</v>
      </c>
      <c r="K279" s="18">
        <v>68.349999999999994</v>
      </c>
    </row>
    <row r="280" spans="1:15" s="4" customFormat="1" ht="153" x14ac:dyDescent="0.2">
      <c r="A280" s="12" t="s">
        <v>8</v>
      </c>
      <c r="B280" s="12" t="s">
        <v>109</v>
      </c>
      <c r="C280" s="12" t="s">
        <v>13</v>
      </c>
      <c r="D280" s="12">
        <v>351115329</v>
      </c>
      <c r="E280" s="12" t="s">
        <v>12</v>
      </c>
      <c r="F280" s="12" t="s">
        <v>142</v>
      </c>
      <c r="G280" s="5" t="s">
        <v>278</v>
      </c>
      <c r="H280" s="6" t="s">
        <v>66</v>
      </c>
      <c r="I280" s="5" t="s">
        <v>49</v>
      </c>
      <c r="J280" s="6">
        <v>45692</v>
      </c>
      <c r="K280" s="18">
        <v>1050</v>
      </c>
    </row>
    <row r="281" spans="1:15" s="4" customFormat="1" ht="204" x14ac:dyDescent="0.2">
      <c r="A281" s="12" t="s">
        <v>8</v>
      </c>
      <c r="B281" s="12" t="s">
        <v>109</v>
      </c>
      <c r="C281" s="12" t="s">
        <v>12</v>
      </c>
      <c r="D281" s="12">
        <v>351131437</v>
      </c>
      <c r="E281" s="12" t="s">
        <v>13</v>
      </c>
      <c r="F281" s="12" t="s">
        <v>280</v>
      </c>
      <c r="G281" s="5" t="s">
        <v>286</v>
      </c>
      <c r="H281" s="6" t="s">
        <v>66</v>
      </c>
      <c r="I281" s="5" t="s">
        <v>49</v>
      </c>
      <c r="J281" s="6">
        <v>45889</v>
      </c>
      <c r="K281" s="18">
        <v>945</v>
      </c>
    </row>
    <row r="282" spans="1:15" s="4" customFormat="1" ht="267.75" x14ac:dyDescent="0.2">
      <c r="A282" s="12" t="s">
        <v>8</v>
      </c>
      <c r="B282" s="12" t="s">
        <v>109</v>
      </c>
      <c r="C282" s="12" t="s">
        <v>12</v>
      </c>
      <c r="D282" s="12">
        <v>351131439</v>
      </c>
      <c r="E282" s="12" t="s">
        <v>13</v>
      </c>
      <c r="F282" s="12" t="s">
        <v>280</v>
      </c>
      <c r="G282" s="5" t="s">
        <v>287</v>
      </c>
      <c r="H282" s="6" t="s">
        <v>66</v>
      </c>
      <c r="I282" s="5" t="s">
        <v>49</v>
      </c>
      <c r="J282" s="6">
        <v>45891</v>
      </c>
      <c r="K282" s="18">
        <v>160</v>
      </c>
    </row>
    <row r="283" spans="1:15" s="4" customFormat="1" ht="102" x14ac:dyDescent="0.2">
      <c r="A283" s="12" t="s">
        <v>8</v>
      </c>
      <c r="B283" s="12" t="s">
        <v>109</v>
      </c>
      <c r="C283" s="12" t="s">
        <v>12</v>
      </c>
      <c r="D283" s="12">
        <v>351137492</v>
      </c>
      <c r="E283" s="12" t="s">
        <v>13</v>
      </c>
      <c r="F283" s="12" t="s">
        <v>280</v>
      </c>
      <c r="G283" s="5" t="s">
        <v>288</v>
      </c>
      <c r="H283" s="6" t="s">
        <v>66</v>
      </c>
      <c r="I283" s="5" t="s">
        <v>49</v>
      </c>
      <c r="J283" s="6">
        <v>45968</v>
      </c>
      <c r="K283" s="18">
        <v>340</v>
      </c>
    </row>
    <row r="284" spans="1:15" ht="12.75" x14ac:dyDescent="0.2">
      <c r="O284" s="2"/>
    </row>
    <row r="285" spans="1:15" ht="12.75" x14ac:dyDescent="0.2">
      <c r="O285" s="2"/>
    </row>
    <row r="286" spans="1:15" ht="12.75" x14ac:dyDescent="0.2">
      <c r="O286" s="2"/>
    </row>
    <row r="287" spans="1:15" ht="12.75" x14ac:dyDescent="0.2">
      <c r="O287" s="2"/>
    </row>
    <row r="288" spans="1:15" ht="12.75" x14ac:dyDescent="0.2">
      <c r="O288" s="2"/>
    </row>
    <row r="289" spans="15:15" ht="12.75" x14ac:dyDescent="0.2">
      <c r="O289" s="2"/>
    </row>
    <row r="290" spans="15:15" ht="12.75" x14ac:dyDescent="0.2">
      <c r="O290" s="2"/>
    </row>
    <row r="291" spans="15:15" ht="12.75" x14ac:dyDescent="0.2">
      <c r="O291" s="2"/>
    </row>
    <row r="292" spans="15:15" ht="12.75" x14ac:dyDescent="0.2">
      <c r="O292" s="2"/>
    </row>
    <row r="293" spans="15:15" ht="12.75" x14ac:dyDescent="0.2">
      <c r="O293" s="2"/>
    </row>
    <row r="294" spans="15:15" ht="12.75" x14ac:dyDescent="0.2">
      <c r="O294" s="2"/>
    </row>
  </sheetData>
  <sortState xmlns:xlrd2="http://schemas.microsoft.com/office/spreadsheetml/2017/richdata2" ref="C17:N21">
    <sortCondition ref="C17:C21"/>
  </sortState>
  <mergeCells count="24">
    <mergeCell ref="M26:N26"/>
    <mergeCell ref="E26:F26"/>
    <mergeCell ref="G26:H26"/>
    <mergeCell ref="I26:J26"/>
    <mergeCell ref="K26:L26"/>
    <mergeCell ref="A14:A15"/>
    <mergeCell ref="B14:B15"/>
    <mergeCell ref="A30:A31"/>
    <mergeCell ref="B30:B31"/>
    <mergeCell ref="B33:B34"/>
    <mergeCell ref="A33:A34"/>
    <mergeCell ref="A17:A21"/>
    <mergeCell ref="B17:B21"/>
    <mergeCell ref="E12:F12"/>
    <mergeCell ref="G12:H12"/>
    <mergeCell ref="I12:J12"/>
    <mergeCell ref="K12:L12"/>
    <mergeCell ref="M12:N12"/>
    <mergeCell ref="A36:A41"/>
    <mergeCell ref="B36:B41"/>
    <mergeCell ref="A43:A44"/>
    <mergeCell ref="B43:B44"/>
    <mergeCell ref="A46:A52"/>
    <mergeCell ref="B46:B52"/>
  </mergeCells>
  <phoneticPr fontId="6" type="noConversion"/>
  <hyperlinks>
    <hyperlink ref="G61" r:id="rId1" xr:uid="{62CB6039-F148-4EAE-B77B-E3964490C898}"/>
    <hyperlink ref="D61" r:id="rId2" tooltip="351008151" display="https://nww.finsys.sbs.nhs.uk:4486/OA_HTML/OA.jsp?OAFunc=POS_VIEW_ORDER_INT&amp;ReqHeaderId=%7B!!uHuvaW03G555aWyatnq9Xg%7D&amp;PoHeaderId=%7B!!8XXYIfZX26doySLANs-CnA%7D&amp;PoReleaseId=&amp;retainAM=Y&amp;addBreadCrumb=Y&amp;_ti=103650927&amp;oapc=24&amp;oas=QULtGtk5AMNKUVeMGxxnYA.." xr:uid="{08DED4F4-700E-4194-B05B-D53E295B558E}"/>
    <hyperlink ref="D232" r:id="rId3" tooltip="351096440" display="https://nww.finsys.sbs.nhs.uk:4486/OA_HTML/OA.jsp?OAFunc=POS_VIEW_ORDER_INT&amp;ReqHeaderId=%7B!!DFXqgGfH1GJ-O6eaeDDdRg%7D&amp;PoHeaderId=%7B!!XRCmLvh-sY94yio7VPTiKQ%7D&amp;PoReleaseId=&amp;retainAM=Y&amp;addBreadCrumb=Y&amp;_ti=438036094&amp;oapc=64" xr:uid="{0B532748-898B-43AC-9F36-FABC624E6F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 9258 - CECR</vt:lpstr>
    </vt:vector>
  </TitlesOfParts>
  <Company>Salisbury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HOPKINSON, Anna (SALISBURY NHS FOUNDATION TRUST)</dc:creator>
  <cp:lastModifiedBy>DEAN, Sarah (SALISBURY NHS FOUNDATION TRUST)</cp:lastModifiedBy>
  <dcterms:created xsi:type="dcterms:W3CDTF">2026-03-05T10:01:50Z</dcterms:created>
  <dcterms:modified xsi:type="dcterms:W3CDTF">2026-03-17T10:40:33Z</dcterms:modified>
</cp:coreProperties>
</file>